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gnussvensson/Desktop/BilagorUndersökAltan/"/>
    </mc:Choice>
  </mc:AlternateContent>
  <xr:revisionPtr revIDLastSave="0" documentId="8_{05ABAD33-7F73-224B-A6AE-B6DF05C7DB5E}" xr6:coauthVersionLast="33" xr6:coauthVersionMax="33" xr10:uidLastSave="{00000000-0000-0000-0000-000000000000}"/>
  <bookViews>
    <workbookView xWindow="4660" yWindow="460" windowWidth="44660" windowHeight="24640" tabRatio="500" xr2:uid="{00000000-000D-0000-FFFF-FFFF00000000}"/>
  </bookViews>
  <sheets>
    <sheet name="Alla priser från butiker" sheetId="1" r:id="rId1"/>
    <sheet name="Lista med frakt och utan frakt" sheetId="2" r:id="rId2"/>
    <sheet name="Billigaste per vara" sheetId="3" r:id="rId3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3" l="1"/>
  <c r="G47" i="3"/>
  <c r="G46" i="3"/>
  <c r="G44" i="3"/>
  <c r="G42" i="3"/>
  <c r="G41" i="3"/>
  <c r="G39" i="3"/>
  <c r="G38" i="3"/>
  <c r="G50" i="3" s="1"/>
  <c r="G33" i="3"/>
  <c r="G15" i="3"/>
  <c r="B30" i="2" l="1"/>
  <c r="B34" i="2" s="1"/>
  <c r="B21" i="1"/>
  <c r="B20" i="1"/>
  <c r="B41" i="2" l="1"/>
  <c r="C29" i="2"/>
  <c r="C30" i="2"/>
  <c r="H30" i="2"/>
  <c r="M29" i="2"/>
  <c r="H31" i="2"/>
  <c r="M30" i="2"/>
  <c r="H32" i="2"/>
  <c r="M31" i="2"/>
  <c r="M32" i="2"/>
  <c r="M33" i="2"/>
  <c r="G34" i="2"/>
  <c r="L35" i="2"/>
  <c r="B40" i="2"/>
  <c r="H40" i="2"/>
  <c r="M38" i="2"/>
  <c r="B4" i="2"/>
  <c r="CX3" i="1"/>
  <c r="CX12" i="1"/>
  <c r="DA12" i="1"/>
  <c r="DA10" i="1"/>
  <c r="CX10" i="1"/>
  <c r="DA8" i="1"/>
  <c r="CX8" i="1"/>
  <c r="DA7" i="1"/>
  <c r="CX7" i="1"/>
  <c r="DA6" i="1"/>
  <c r="CX6" i="1"/>
  <c r="DA3" i="1"/>
  <c r="DA15" i="1" s="1"/>
  <c r="DA18" i="1" s="1"/>
  <c r="DA16" i="1"/>
  <c r="CQ7" i="1"/>
  <c r="B53" i="2"/>
  <c r="B52" i="2"/>
  <c r="B51" i="2"/>
  <c r="B50" i="2"/>
  <c r="B49" i="2"/>
  <c r="B47" i="2"/>
  <c r="B48" i="2"/>
  <c r="B46" i="2"/>
  <c r="B45" i="2"/>
  <c r="B44" i="2"/>
  <c r="B43" i="2"/>
  <c r="B42" i="2"/>
  <c r="C42" i="2" s="1"/>
  <c r="B15" i="2"/>
  <c r="B14" i="2"/>
  <c r="B12" i="2"/>
  <c r="B11" i="2"/>
  <c r="B10" i="2"/>
  <c r="C10" i="2" s="1"/>
  <c r="B13" i="2"/>
  <c r="B9" i="2"/>
  <c r="B8" i="2"/>
  <c r="B7" i="2"/>
  <c r="B6" i="2"/>
  <c r="B5" i="2"/>
  <c r="B3" i="2"/>
  <c r="B2" i="2"/>
  <c r="CL3" i="1"/>
  <c r="CL5" i="1"/>
  <c r="CL6" i="1"/>
  <c r="CL7" i="1"/>
  <c r="CL8" i="1"/>
  <c r="CL10" i="1"/>
  <c r="CL11" i="1"/>
  <c r="CL12" i="1"/>
  <c r="CI8" i="1"/>
  <c r="CI3" i="1"/>
  <c r="CI12" i="1"/>
  <c r="CL2" i="1"/>
  <c r="CX5" i="1"/>
  <c r="CX11" i="1"/>
  <c r="CX2" i="1"/>
  <c r="BN2" i="1"/>
  <c r="BN3" i="1"/>
  <c r="BN5" i="1"/>
  <c r="BN6" i="1"/>
  <c r="BN7" i="1"/>
  <c r="BN8" i="1"/>
  <c r="BN10" i="1"/>
  <c r="BN11" i="1"/>
  <c r="BN12" i="1"/>
  <c r="CD5" i="1"/>
  <c r="CD6" i="1"/>
  <c r="CD7" i="1"/>
  <c r="CD10" i="1"/>
  <c r="CD11" i="1"/>
  <c r="CD12" i="1"/>
  <c r="CA12" i="1"/>
  <c r="CD2" i="1"/>
  <c r="CD3" i="1"/>
  <c r="CD8" i="1"/>
  <c r="CA8" i="1"/>
  <c r="CA3" i="1"/>
  <c r="BV3" i="1"/>
  <c r="BV5" i="1"/>
  <c r="BV6" i="1"/>
  <c r="BV7" i="1"/>
  <c r="BV8" i="1"/>
  <c r="BV10" i="1"/>
  <c r="BV11" i="1"/>
  <c r="BV12" i="1"/>
  <c r="BV2" i="1"/>
  <c r="BS12" i="1"/>
  <c r="BS8" i="1"/>
  <c r="BS3" i="1"/>
  <c r="BK12" i="1"/>
  <c r="BK8" i="1"/>
  <c r="BK3" i="1"/>
  <c r="C41" i="2" l="1"/>
  <c r="B54" i="2"/>
  <c r="B16" i="2"/>
  <c r="C40" i="2"/>
  <c r="C4" i="2"/>
  <c r="C2" i="2"/>
  <c r="C3" i="2"/>
  <c r="C9" i="2"/>
  <c r="AH18" i="1"/>
  <c r="BN15" i="1"/>
  <c r="BN18" i="1" s="1"/>
  <c r="C5" i="2"/>
  <c r="C6" i="2"/>
  <c r="C7" i="2"/>
  <c r="C8" i="2"/>
  <c r="C11" i="2"/>
  <c r="C12" i="2"/>
  <c r="C15" i="2"/>
  <c r="C13" i="2"/>
  <c r="C14" i="2"/>
  <c r="CK15" i="1"/>
  <c r="CK18" i="1" s="1"/>
  <c r="CJ15" i="1"/>
  <c r="CJ18" i="1" s="1"/>
  <c r="CS15" i="1"/>
  <c r="CS18" i="1" s="1"/>
  <c r="CR15" i="1"/>
  <c r="CR18" i="1" s="1"/>
  <c r="CT12" i="1"/>
  <c r="CT15" i="1" s="1"/>
  <c r="CT18" i="1" s="1"/>
  <c r="CQ8" i="1"/>
  <c r="CQ3" i="1"/>
  <c r="DH15" i="1"/>
  <c r="DG15" i="1"/>
  <c r="DI12" i="1"/>
  <c r="DF12" i="1" s="1"/>
  <c r="DI11" i="1"/>
  <c r="DI10" i="1"/>
  <c r="DI8" i="1"/>
  <c r="DF8" i="1" s="1"/>
  <c r="DI7" i="1"/>
  <c r="DI6" i="1"/>
  <c r="DI3" i="1"/>
  <c r="DF3" i="1"/>
  <c r="DI2" i="1"/>
  <c r="CC15" i="1"/>
  <c r="CC18" i="1" s="1"/>
  <c r="CB15" i="1"/>
  <c r="CB18" i="1" s="1"/>
  <c r="CA5" i="1"/>
  <c r="CA2" i="1"/>
  <c r="BU15" i="1"/>
  <c r="BU18" i="1" s="1"/>
  <c r="BT15" i="1"/>
  <c r="BT18" i="1" s="1"/>
  <c r="BV15" i="1"/>
  <c r="BV18" i="1" s="1"/>
  <c r="BS5" i="1"/>
  <c r="BS2" i="1"/>
  <c r="BL18" i="1"/>
  <c r="BM15" i="1"/>
  <c r="BM18" i="1" s="1"/>
  <c r="BL15" i="1"/>
  <c r="BK5" i="1"/>
  <c r="BK2" i="1"/>
  <c r="DI15" i="1" l="1"/>
  <c r="CQ12" i="1"/>
  <c r="Q15" i="1" l="1"/>
  <c r="L53" i="2" l="1"/>
  <c r="M50" i="2"/>
  <c r="M49" i="2"/>
  <c r="M48" i="2"/>
  <c r="M47" i="2"/>
  <c r="M46" i="2"/>
  <c r="M45" i="2"/>
  <c r="M44" i="2"/>
  <c r="M43" i="2"/>
  <c r="M42" i="2"/>
  <c r="M41" i="2"/>
  <c r="M40" i="2"/>
  <c r="M27" i="2"/>
  <c r="M26" i="2"/>
  <c r="M25" i="2"/>
  <c r="M24" i="2"/>
  <c r="M23" i="2"/>
  <c r="M22" i="2"/>
  <c r="M21" i="2"/>
  <c r="L17" i="2"/>
  <c r="M15" i="2"/>
  <c r="M14" i="2"/>
  <c r="M13" i="2"/>
  <c r="M12" i="2"/>
  <c r="M11" i="2"/>
  <c r="M10" i="2"/>
  <c r="M9" i="2"/>
  <c r="M8" i="2"/>
  <c r="M7" i="2"/>
  <c r="M6" i="2"/>
  <c r="M5" i="2"/>
  <c r="M3" i="2"/>
  <c r="M2" i="2"/>
  <c r="H50" i="2"/>
  <c r="H49" i="2"/>
  <c r="H48" i="2"/>
  <c r="H47" i="2"/>
  <c r="H46" i="2"/>
  <c r="H45" i="2"/>
  <c r="H44" i="2"/>
  <c r="H43" i="2"/>
  <c r="H42" i="2"/>
  <c r="H28" i="2"/>
  <c r="H27" i="2"/>
  <c r="H26" i="2"/>
  <c r="H25" i="2"/>
  <c r="H24" i="2"/>
  <c r="H23" i="2"/>
  <c r="H22" i="2"/>
  <c r="H21" i="2"/>
  <c r="H20" i="2"/>
  <c r="G16" i="2"/>
  <c r="H13" i="2"/>
  <c r="H12" i="2"/>
  <c r="H11" i="2"/>
  <c r="H10" i="2"/>
  <c r="H9" i="2"/>
  <c r="H8" i="2"/>
  <c r="H7" i="2"/>
  <c r="H6" i="2"/>
  <c r="H5" i="2"/>
  <c r="H3" i="2"/>
  <c r="H2" i="2"/>
  <c r="C50" i="2"/>
  <c r="C49" i="2"/>
  <c r="C48" i="2"/>
  <c r="C47" i="2"/>
  <c r="C46" i="2"/>
  <c r="C45" i="2"/>
  <c r="C44" i="2"/>
  <c r="C43" i="2"/>
  <c r="AH15" i="1"/>
  <c r="R15" i="1"/>
  <c r="BE15" i="1" l="1"/>
  <c r="BE18" i="1" s="1"/>
  <c r="AW15" i="1"/>
  <c r="AW18" i="1" s="1"/>
  <c r="AO15" i="1"/>
  <c r="AO18" i="1" s="1"/>
  <c r="AG15" i="1"/>
  <c r="AG18" i="1" s="1"/>
  <c r="Y15" i="1"/>
  <c r="Y18" i="1" s="1"/>
  <c r="R18" i="1"/>
  <c r="J15" i="1"/>
  <c r="J18" i="1" s="1"/>
  <c r="CY15" i="1" l="1"/>
  <c r="CY18" i="1" s="1"/>
  <c r="Q18" i="1"/>
  <c r="BF15" i="1"/>
  <c r="BF18" i="1" s="1"/>
  <c r="I15" i="1"/>
  <c r="I18" i="1"/>
  <c r="AF15" i="1"/>
  <c r="AF18" i="1" s="1"/>
  <c r="AX15" i="1"/>
  <c r="AX18" i="1" s="1"/>
  <c r="AP15" i="1"/>
  <c r="AP18" i="1" s="1"/>
  <c r="Z15" i="1"/>
  <c r="Z18" i="1" s="1"/>
  <c r="AV15" i="1"/>
  <c r="AV18" i="1" s="1"/>
  <c r="H15" i="1"/>
  <c r="P15" i="1"/>
  <c r="P18" i="1" s="1"/>
  <c r="BD15" i="1"/>
  <c r="BD18" i="1" s="1"/>
  <c r="AN15" i="1"/>
  <c r="AN18" i="1" s="1"/>
  <c r="X15" i="1"/>
  <c r="X18" i="1" s="1"/>
  <c r="H18" i="1"/>
  <c r="CD15" i="1"/>
  <c r="CD18" i="1" s="1"/>
  <c r="CL15" i="1"/>
  <c r="CL18" i="1"/>
  <c r="G54" i="2"/>
  <c r="C23" i="2"/>
  <c r="C24" i="2"/>
  <c r="C21" i="2"/>
  <c r="C27" i="2"/>
  <c r="C22" i="2"/>
  <c r="C28" i="2"/>
  <c r="C26" i="2"/>
  <c r="C25" i="2"/>
  <c r="C20" i="2"/>
</calcChain>
</file>

<file path=xl/sharedStrings.xml><?xml version="1.0" encoding="utf-8"?>
<sst xmlns="http://schemas.openxmlformats.org/spreadsheetml/2006/main" count="936" uniqueCount="486">
  <si>
    <t>Antal</t>
  </si>
  <si>
    <t>A-pris</t>
  </si>
  <si>
    <t>42,74 kr/lpm</t>
  </si>
  <si>
    <t>Pris</t>
  </si>
  <si>
    <t>Byggmax</t>
  </si>
  <si>
    <t>Bauhaus</t>
  </si>
  <si>
    <t>Bygghemma</t>
  </si>
  <si>
    <t>K-rauta</t>
  </si>
  <si>
    <t>Bygma</t>
  </si>
  <si>
    <t>45x170 Impregnerad Regel Grön</t>
  </si>
  <si>
    <t>Tryckimpregnerad Regel C14 NTR/A 45x170 mm</t>
  </si>
  <si>
    <t>Impregnerad regel 45x170 4,8 m</t>
  </si>
  <si>
    <t>138 lpm</t>
  </si>
  <si>
    <t>8 st</t>
  </si>
  <si>
    <t>Hålplatta 120x300x2,0mm</t>
  </si>
  <si>
    <t>HÅLPLATTA 2X120X240</t>
  </si>
  <si>
    <t>72 st</t>
  </si>
  <si>
    <t>Vinkelbeslag med förstärkning</t>
  </si>
  <si>
    <t>VINKEL 2,5X70X70X55</t>
  </si>
  <si>
    <t>1000 st</t>
  </si>
  <si>
    <t>34,25 kr/lpm</t>
  </si>
  <si>
    <t>18,95 st</t>
  </si>
  <si>
    <t>6,95 st</t>
  </si>
  <si>
    <t>0,595 st</t>
  </si>
  <si>
    <t>ANKARSKRUV 5,0X40 CS-250</t>
  </si>
  <si>
    <t>0,716 st</t>
  </si>
  <si>
    <t>34,20 kr/lpm</t>
  </si>
  <si>
    <t>7,95 st</t>
  </si>
  <si>
    <t>0,876 st</t>
  </si>
  <si>
    <t>Ankarskruv Essve 5,0X40 Cs-250</t>
  </si>
  <si>
    <t>36,95 kr/lpm</t>
  </si>
  <si>
    <t>Betongplint utan stolpsko 70 cm</t>
  </si>
  <si>
    <t>0,836 st</t>
  </si>
  <si>
    <t>18 st</t>
  </si>
  <si>
    <t>0,916 /st</t>
  </si>
  <si>
    <t>8,9 /st</t>
  </si>
  <si>
    <t>29,90 /st</t>
  </si>
  <si>
    <t>STOLPSKO 2" TILL JUSTERBAR PLINT</t>
  </si>
  <si>
    <t>STOLPSKO 2TUM JUSTERBAR</t>
  </si>
  <si>
    <t>100 st</t>
  </si>
  <si>
    <t>5,78 /st</t>
  </si>
  <si>
    <t>Plint S:t Eriks 700 ställbart utan järn</t>
  </si>
  <si>
    <t>412 lpm</t>
  </si>
  <si>
    <t>Trall impregnerad NTR AB 28x120</t>
  </si>
  <si>
    <t>Trallskruv 4,5x55 Correseal 250 st</t>
  </si>
  <si>
    <t>1500 st</t>
  </si>
  <si>
    <t>Trallskruv 4,2/4,5x55</t>
  </si>
  <si>
    <t>1,83 st</t>
  </si>
  <si>
    <t>11,24 st</t>
  </si>
  <si>
    <t>94,95  st</t>
  </si>
  <si>
    <t>5 kr/st</t>
  </si>
  <si>
    <t>37,8 kr/lpm</t>
  </si>
  <si>
    <t>Stolpsko Benders 2" justerbar</t>
  </si>
  <si>
    <t>-</t>
  </si>
  <si>
    <t>Fransk skruv 8X50</t>
  </si>
  <si>
    <t>Spikplåt Prof 100X200X2mm</t>
  </si>
  <si>
    <t>19,95 st</t>
  </si>
  <si>
    <t>Vinkel Prof 70X70X2,5X55mm Förstärkt</t>
  </si>
  <si>
    <t>1,10 st</t>
  </si>
  <si>
    <t>Fredells, Sickla Allé 2-4</t>
  </si>
  <si>
    <t>Bygg-Ole, Nacka</t>
  </si>
  <si>
    <t>0,68 kr/st</t>
  </si>
  <si>
    <t>1,99 kr/st</t>
  </si>
  <si>
    <t xml:space="preserve">Hemleverans </t>
  </si>
  <si>
    <t>0,51 kr/st</t>
  </si>
  <si>
    <t>0,72 kr/st</t>
  </si>
  <si>
    <t>TRÄSKRUV NV13 T6SF8,8FZV 8X50</t>
  </si>
  <si>
    <t>2,3 kr/st</t>
  </si>
  <si>
    <t>41,50:-</t>
  </si>
  <si>
    <t>33,50 /st</t>
  </si>
  <si>
    <t>89,5 kr/st</t>
  </si>
  <si>
    <t>Hemleverans Storstockholm kranbil</t>
  </si>
  <si>
    <t>31,29kr/ipm</t>
  </si>
  <si>
    <t>0,60kr/st</t>
  </si>
  <si>
    <t>Hemleverans kranbil</t>
  </si>
  <si>
    <t>2,9 kr/st</t>
  </si>
  <si>
    <t>8kr/st</t>
  </si>
  <si>
    <t xml:space="preserve"> 82kr/st</t>
  </si>
  <si>
    <t>26kr/st</t>
  </si>
  <si>
    <t>130 kr/st</t>
  </si>
  <si>
    <t>37,95 kr/lpm</t>
  </si>
  <si>
    <t>Hemleverans</t>
  </si>
  <si>
    <t>Hemleverans Norrtälje kranbil</t>
  </si>
  <si>
    <t>Summa</t>
  </si>
  <si>
    <t>14,50 kr/lpm</t>
  </si>
  <si>
    <t>28x120 Trall Impregnerad Grön</t>
  </si>
  <si>
    <t>9,95 /lpm</t>
  </si>
  <si>
    <t>17,90 /lpm</t>
  </si>
  <si>
    <t>179 /förp</t>
  </si>
  <si>
    <t>229 /förp</t>
  </si>
  <si>
    <t>199 /förp</t>
  </si>
  <si>
    <t>Totalt</t>
  </si>
  <si>
    <t>0,38 st</t>
  </si>
  <si>
    <t>HÅLPLATTA 120X300X2,0MM</t>
  </si>
  <si>
    <t>Hink /1500st/ 4,1x56</t>
  </si>
  <si>
    <t>Hålplatta/Spikningsplåt ca 120x240 mm</t>
  </si>
  <si>
    <t>Vinkelbeslag typ 70x70x55</t>
  </si>
  <si>
    <t>Trall 28x120 grön G4-2</t>
  </si>
  <si>
    <t>Ankarskruv 5x40 mm</t>
  </si>
  <si>
    <t xml:space="preserve"> Impregnerad regel 45x170</t>
  </si>
  <si>
    <t>Fransk skruv/motsvarande 8x50</t>
  </si>
  <si>
    <t>Plintar 70 cm med stolskor justerbar 2”</t>
  </si>
  <si>
    <t>0,27 kr/st</t>
  </si>
  <si>
    <t>STOLPSKO UNIFLEX 2"</t>
  </si>
  <si>
    <t>Frakpall (pengar återfås vid retur)</t>
  </si>
  <si>
    <t>Hemleverans Skutskärsvägen, 12264 ENSKEDE</t>
  </si>
  <si>
    <t>Beijer Bygg</t>
  </si>
  <si>
    <t>Optimera</t>
  </si>
  <si>
    <t>Karl Hedin Bygghandel</t>
  </si>
  <si>
    <t>Woody Bygghandel</t>
  </si>
  <si>
    <t>Fredells</t>
  </si>
  <si>
    <t>Bygg Olle</t>
  </si>
  <si>
    <t>Hemkörningspriser kranbil</t>
  </si>
  <si>
    <t>Beijer Bygg*</t>
  </si>
  <si>
    <t>Optimera (Runt Ljusterö)</t>
  </si>
  <si>
    <t>Karl Hedin Bygghandel (Runt Norrtälje)</t>
  </si>
  <si>
    <t>Byggvaror utan hemkörning</t>
  </si>
  <si>
    <t>28 x 120 mm. Tryckimpregnerad. NTR-AB</t>
  </si>
  <si>
    <t>45 x 170 mm. Tryckimpregnerad. NTR-A.</t>
  </si>
  <si>
    <t>Namn hos Byggvarulistan.se som använts i prisförfrågningen</t>
  </si>
  <si>
    <t>Bolist Happy Homes Bygghuset</t>
  </si>
  <si>
    <t>Hålplatt 120x240 mm</t>
  </si>
  <si>
    <t>Ankarskruv 5x40</t>
  </si>
  <si>
    <t>Stolpsko justerbar</t>
  </si>
  <si>
    <t>Hemleverans stockholm kranbil</t>
  </si>
  <si>
    <t>Jem&amp;Fix</t>
  </si>
  <si>
    <t>Hålplatta 100 x 220</t>
  </si>
  <si>
    <t>Fransk träskruv 8x40 15 st/påse</t>
  </si>
  <si>
    <t>Jem&amp;Fix Katrineholm</t>
  </si>
  <si>
    <t>Ingen hemkörning</t>
  </si>
  <si>
    <t>60 kr / st</t>
  </si>
  <si>
    <t>Byggvaror</t>
  </si>
  <si>
    <t>Byggvaruhus</t>
  </si>
  <si>
    <t>Bygghemma.se</t>
  </si>
  <si>
    <t>Karl Hedin</t>
  </si>
  <si>
    <t>9,95 kr/st</t>
  </si>
  <si>
    <t>0,38 kr/st</t>
  </si>
  <si>
    <t>25 kr/st</t>
  </si>
  <si>
    <t>8,9 kr/st</t>
  </si>
  <si>
    <t>Plint Benders 700 mm</t>
  </si>
  <si>
    <t>139 kr/st</t>
  </si>
  <si>
    <t>82kr/st</t>
  </si>
  <si>
    <t>38 kr /st</t>
  </si>
  <si>
    <t>89 kr /st</t>
  </si>
  <si>
    <t>30 kr/st</t>
  </si>
  <si>
    <t>24 kr/st</t>
  </si>
  <si>
    <r>
      <rPr>
        <sz val="12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 xml:space="preserve">ransk skruv 8x50 </t>
    </r>
  </si>
  <si>
    <t>1,30 kr/st</t>
  </si>
  <si>
    <t>Frakt saknas</t>
  </si>
  <si>
    <t>Bygghemma***</t>
  </si>
  <si>
    <t>*** Har ej alla produkter</t>
  </si>
  <si>
    <t>Jem&amp;Fix***</t>
  </si>
  <si>
    <t>Totalpris</t>
  </si>
  <si>
    <t>Byggvaror och utkörning</t>
  </si>
  <si>
    <t>15kr/st</t>
  </si>
  <si>
    <t>85 kr/st</t>
  </si>
  <si>
    <t>35 kr /st</t>
  </si>
  <si>
    <r>
      <t>Vinkelbesla</t>
    </r>
    <r>
      <rPr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 xml:space="preserve"> med förstärkning 70x70x55</t>
    </r>
  </si>
  <si>
    <t>Vinkelbeslag med förstärkning 70x70x55</t>
  </si>
  <si>
    <t xml:space="preserve">Fransk skruv 8x50 </t>
  </si>
  <si>
    <t>Bygma Danderyd</t>
  </si>
  <si>
    <t>HORNBACH, Sundbyberg</t>
  </si>
  <si>
    <t>Woody Bygghandel, Woody Bygghandel Huddinge</t>
  </si>
  <si>
    <t>Karl-Hedin, B Karl Hedin Norrtälje</t>
  </si>
  <si>
    <t>K-rauta, Kungens kurva</t>
  </si>
  <si>
    <t>Bauhaus Bromma</t>
  </si>
  <si>
    <t>Byggmax Länna</t>
  </si>
  <si>
    <t>Fransk Träskruv 8X50, T6S</t>
  </si>
  <si>
    <t>2,47 kr/st</t>
  </si>
  <si>
    <t>15 kr/st</t>
  </si>
  <si>
    <t>0,71 kr/st</t>
  </si>
  <si>
    <t>13 kr/st</t>
  </si>
  <si>
    <t>100,63 kr/st</t>
  </si>
  <si>
    <t>31,29kr/lpm</t>
  </si>
  <si>
    <t>32,45 kr/st</t>
  </si>
  <si>
    <t>14,95 kr/ lpm</t>
  </si>
  <si>
    <t>0,796 kr/st</t>
  </si>
  <si>
    <t>89 kr/st</t>
  </si>
  <si>
    <t>10,95 kr/lpm</t>
  </si>
  <si>
    <t>10 kr/st</t>
  </si>
  <si>
    <t>11,90 kr /lpm</t>
  </si>
  <si>
    <t>13,45 kr/lpm</t>
  </si>
  <si>
    <t>12,9 kr/lpm</t>
  </si>
  <si>
    <t>0,44 kr/st</t>
  </si>
  <si>
    <t>19 kr/st</t>
  </si>
  <si>
    <t>0,6 kr/st</t>
  </si>
  <si>
    <t>39 kr/st</t>
  </si>
  <si>
    <t>3,09 kr/st</t>
  </si>
  <si>
    <t>104  kr/st</t>
  </si>
  <si>
    <t>13,95 kr/lpm</t>
  </si>
  <si>
    <t>0,66 kr/st</t>
  </si>
  <si>
    <t>32,9 kr/st</t>
  </si>
  <si>
    <t>32,9 kr/lpm</t>
  </si>
  <si>
    <t>12,9 kr/st</t>
  </si>
  <si>
    <t>0,716 kr/st</t>
  </si>
  <si>
    <t>59,9 kr/st</t>
  </si>
  <si>
    <t>39,9 kr/st</t>
  </si>
  <si>
    <t>38,9 kr/lpm</t>
  </si>
  <si>
    <t>2,78 kr/st</t>
  </si>
  <si>
    <t>0,74 kr/lpm</t>
  </si>
  <si>
    <t>0,70 kr/st</t>
  </si>
  <si>
    <t>15.95 kr/lpm</t>
  </si>
  <si>
    <t>20 kr/st</t>
  </si>
  <si>
    <t>Medelpris byggvaror</t>
  </si>
  <si>
    <t xml:space="preserve">Medelpris utkörning </t>
  </si>
  <si>
    <t>40,95kr/lpm</t>
  </si>
  <si>
    <t>9 kr/st</t>
  </si>
  <si>
    <t>35 kr/lpm</t>
  </si>
  <si>
    <t>0,5 kr/st</t>
  </si>
  <si>
    <t>229 kr/st</t>
  </si>
  <si>
    <t>4,38 kr/st</t>
  </si>
  <si>
    <t>45 kr/st</t>
  </si>
  <si>
    <t>119 kr/st</t>
  </si>
  <si>
    <t>13,95 kr/st</t>
  </si>
  <si>
    <t>11,90kr/lpm</t>
  </si>
  <si>
    <t>0,94 kr/st</t>
  </si>
  <si>
    <t>12 kr/st</t>
  </si>
  <si>
    <t>0,516 kr/st</t>
  </si>
  <si>
    <t>11,9 kr/lpm</t>
  </si>
  <si>
    <t>34,45 kr/lpm</t>
  </si>
  <si>
    <t>12,95 kr/st</t>
  </si>
  <si>
    <t>8,95 kr/st</t>
  </si>
  <si>
    <t>74,95 kr/st</t>
  </si>
  <si>
    <t>2,33 kr/st</t>
  </si>
  <si>
    <t>Medelpris byggvaror med utkörning</t>
  </si>
  <si>
    <t>** Leveransvilkor under vissa perioder</t>
  </si>
  <si>
    <t>* Ej efterfrågad produkt. Liknade produkt har föreslagits.</t>
  </si>
  <si>
    <t>/fransk träskruv 8x50</t>
  </si>
  <si>
    <t>14,63 kr/lpm</t>
  </si>
  <si>
    <t>179 kr/förp</t>
  </si>
  <si>
    <t>43,08 kr/lpm</t>
  </si>
  <si>
    <t>36,90 kr /st</t>
  </si>
  <si>
    <t>10,9 kr /st</t>
  </si>
  <si>
    <t>0,676 kr /st</t>
  </si>
  <si>
    <t>2,78 kr /st</t>
  </si>
  <si>
    <t>10,95 /lpm</t>
  </si>
  <si>
    <t>64,95 / förp</t>
  </si>
  <si>
    <t>68,95 / st</t>
  </si>
  <si>
    <t>0,695 st</t>
  </si>
  <si>
    <t>0,89 st</t>
  </si>
  <si>
    <t>2,78 st</t>
  </si>
  <si>
    <t>JUSTERBAR PLINT 700MM</t>
  </si>
  <si>
    <t>99 st</t>
  </si>
  <si>
    <t>0,596 st</t>
  </si>
  <si>
    <t>12,95 kr/lpm</t>
  </si>
  <si>
    <t>0,629 st</t>
  </si>
  <si>
    <t>Utgått</t>
  </si>
  <si>
    <t>19 kr /lpm</t>
  </si>
  <si>
    <t>36 kr /lpm</t>
  </si>
  <si>
    <t>15kr /st</t>
  </si>
  <si>
    <t>8 kr /st</t>
  </si>
  <si>
    <t>93,75 /st</t>
  </si>
  <si>
    <t>39 kr /st</t>
  </si>
  <si>
    <t>1,79 st</t>
  </si>
  <si>
    <t>14,95 kr/lpm</t>
  </si>
  <si>
    <t>0,55 kr/st</t>
  </si>
  <si>
    <t>37,50 kr/lpm</t>
  </si>
  <si>
    <t>1,08 kr/ st</t>
  </si>
  <si>
    <t>109 kr/st</t>
  </si>
  <si>
    <t>0,63 kr/st</t>
  </si>
  <si>
    <t>15,09 kr/lpm</t>
  </si>
  <si>
    <t>42,15 kr/lpm</t>
  </si>
  <si>
    <t>1,64 kr/st</t>
  </si>
  <si>
    <t>0,584 kr/st</t>
  </si>
  <si>
    <t>15,50 kr/st</t>
  </si>
  <si>
    <t>8,50 kr/st</t>
  </si>
  <si>
    <t>34,50:-</t>
  </si>
  <si>
    <t>0,56 kr/st</t>
  </si>
  <si>
    <t>120 kr/st</t>
  </si>
  <si>
    <t>2,29 kr/st</t>
  </si>
  <si>
    <t>14,50 kr/st</t>
  </si>
  <si>
    <t>0,64 kr/st</t>
  </si>
  <si>
    <t>37,95kr/lpm</t>
  </si>
  <si>
    <t>9,10 kr/st</t>
  </si>
  <si>
    <t>4,22kr/st</t>
  </si>
  <si>
    <t>10,90kr/lpm</t>
  </si>
  <si>
    <t>0,442kr/st</t>
  </si>
  <si>
    <t>34,90 kr/lpm</t>
  </si>
  <si>
    <t>0,56kr/st</t>
  </si>
  <si>
    <t>74,90 kr/st</t>
  </si>
  <si>
    <t>38kr/st</t>
  </si>
  <si>
    <t>129 kr /st</t>
  </si>
  <si>
    <t>A-pris -17</t>
  </si>
  <si>
    <t>Pris -17</t>
  </si>
  <si>
    <t>13,25 kr/lpm</t>
  </si>
  <si>
    <t>0,66 kr/lpm</t>
  </si>
  <si>
    <t>35,65 kr/lpm</t>
  </si>
  <si>
    <t>9,50 kr/st</t>
  </si>
  <si>
    <t>129 kr/st</t>
  </si>
  <si>
    <t>49 kr/st</t>
  </si>
  <si>
    <t>1,59 kr/st</t>
  </si>
  <si>
    <t>Hornbach</t>
  </si>
  <si>
    <t>Totalpris -17</t>
  </si>
  <si>
    <t>K-Rauta</t>
  </si>
  <si>
    <t>Hornbach***</t>
  </si>
  <si>
    <t xml:space="preserve">Optimera </t>
  </si>
  <si>
    <t>Bygg-Ole</t>
  </si>
  <si>
    <t>8,95 kr/m</t>
  </si>
  <si>
    <t>Billigaste byggvaruhus per vara 2017</t>
  </si>
  <si>
    <t>0,22 kr/st</t>
  </si>
  <si>
    <t>30,80kr/ipm</t>
  </si>
  <si>
    <t>18,95 kr/st</t>
  </si>
  <si>
    <t>5,61 kr/st</t>
  </si>
  <si>
    <t>0,389kr/st</t>
  </si>
  <si>
    <t>93,75kr/st</t>
  </si>
  <si>
    <t>Karl Hedin &amp; Bauhaus</t>
  </si>
  <si>
    <t>0,89 kr/st</t>
  </si>
  <si>
    <t>85kr/st</t>
  </si>
  <si>
    <t>A-pris -15</t>
  </si>
  <si>
    <t>Pris -15</t>
  </si>
  <si>
    <t>Totalpris -15</t>
  </si>
  <si>
    <t>saknas</t>
  </si>
  <si>
    <t>Billigaste byggvaruhus per vara 2015</t>
  </si>
  <si>
    <t>Billigaste byggvaruhus per vara 2018</t>
  </si>
  <si>
    <t>Totalpris -18</t>
  </si>
  <si>
    <t>Pris -18</t>
  </si>
  <si>
    <t>A-pris -18</t>
  </si>
  <si>
    <t>TRALL 28X120MM IMPREGNERAD NTR/AB 4,2m</t>
  </si>
  <si>
    <t>16 kr/lpm</t>
  </si>
  <si>
    <t>189 kr/förp</t>
  </si>
  <si>
    <t>Beijer Bygg Huddinge</t>
  </si>
  <si>
    <t>BYGGREGEL 45X170MM IMPREGNERAD NTR/A C24 5,2m</t>
  </si>
  <si>
    <t>44,19 kr lpm</t>
  </si>
  <si>
    <t>SPIKNINGSPLÅT ELFÖRZINKAD 120x240x2</t>
  </si>
  <si>
    <t>35,90 kr/st</t>
  </si>
  <si>
    <t>BYGGVINKEL MED FÖRSTÄRKNING 70x70x55</t>
  </si>
  <si>
    <t>ANKARSKRUV CORRSEAL 5X40 250ST</t>
  </si>
  <si>
    <t>1,16 kr /st</t>
  </si>
  <si>
    <t>149 kr/st</t>
  </si>
  <si>
    <t>BETONGPLINT GRÅ UTAN STOLPSKO 70 cm</t>
  </si>
  <si>
    <t>STOLPSKO UNIFLEX EFTERJUSTERBAR 2 "</t>
  </si>
  <si>
    <t>49,90 kr /st</t>
  </si>
  <si>
    <t>49,90 kr/st</t>
  </si>
  <si>
    <t>TRÄSKRUV CUTTERS MED SEXKANTSSKALLE CORRSEAL 8x55</t>
  </si>
  <si>
    <t>6,58 kr/st</t>
  </si>
  <si>
    <t>11,80 kr/lpm</t>
  </si>
  <si>
    <t>Trallskruv Rostfri A4 Syrafast, 4,2x55mm, 250st</t>
  </si>
  <si>
    <t>188 kr/förp</t>
  </si>
  <si>
    <t>35,95 kr/st</t>
  </si>
  <si>
    <t>19,95 kr/st</t>
  </si>
  <si>
    <t>7,95 kr/st</t>
  </si>
  <si>
    <t>Ankarskruv Rostfri A2, 4,8x40mm, 200st</t>
  </si>
  <si>
    <t>1,195 kr/st</t>
  </si>
  <si>
    <t>67,85 kr/st</t>
  </si>
  <si>
    <t>Altanplint500mm M16*</t>
  </si>
  <si>
    <t>Justerbar Stolpsko 2" M16</t>
  </si>
  <si>
    <t>0,90 st</t>
  </si>
  <si>
    <t>29,95 kr/st</t>
  </si>
  <si>
    <t>44,95 kr/st</t>
  </si>
  <si>
    <t>30,95 kr/st</t>
  </si>
  <si>
    <t>TRALL 28X120MM 4.2M TRYCKIMPREGNERAD*</t>
  </si>
  <si>
    <t>*kampanjpris 11,75 kr/lpm</t>
  </si>
  <si>
    <t>TRALLSKRUV ESSVE MAX3 4,8X55MM 250ST/FP</t>
  </si>
  <si>
    <t>199 kr/förp</t>
  </si>
  <si>
    <t>REGEL 45X170MM 4.2M TRYCKIMPREGNERAD</t>
  </si>
  <si>
    <t>35,95 kr/lpm</t>
  </si>
  <si>
    <t>0,996 kr/st</t>
  </si>
  <si>
    <t>FRANSK TRÄSKRUV 8X50 50ST/FP</t>
  </si>
  <si>
    <t>**kan inte leverera hela sortimentet som hemleverans</t>
  </si>
  <si>
    <t>Tryckimpregnerad Trall 28x120 mm Furu NTR/AB G4-3/2</t>
  </si>
  <si>
    <t>16,30 kr/lpm</t>
  </si>
  <si>
    <t>Trallskruv Trä Turbo UTV 500 st</t>
  </si>
  <si>
    <t>Hålplatta med spikhål Ø 5 mm 120x300</t>
  </si>
  <si>
    <t>Vinkel M 2,5x70x70x55</t>
  </si>
  <si>
    <t>Träskruv T6SF Jumbo Jetting UTV 8x50</t>
  </si>
  <si>
    <t>2,89kr/st</t>
  </si>
  <si>
    <t xml:space="preserve">Hemleverans  från närmaste XL-bygg varuhus </t>
  </si>
  <si>
    <t>Hemleverans från Bender + Expeditionsavgift 49 kr</t>
  </si>
  <si>
    <t>Trall 28x120x4200mm Tryckimpregnerad Ntr/AB*</t>
  </si>
  <si>
    <t>15,35 kr/st</t>
  </si>
  <si>
    <t>*kampanjpris 11,95 kr/lpm</t>
  </si>
  <si>
    <t>Trallskruv Essve Torx 4,5X55mm 1000st**</t>
  </si>
  <si>
    <t>**Medlem 449 kr x 2 förp a 1000 st 898 kr</t>
  </si>
  <si>
    <t>0,549 kr/st</t>
  </si>
  <si>
    <t>0,796 kr/lst</t>
  </si>
  <si>
    <t>Regel 45x170x4200mm Tryckimpregnerad Ntr/A</t>
  </si>
  <si>
    <t>45,95 kr/st</t>
  </si>
  <si>
    <t>1,79  kr/st</t>
  </si>
  <si>
    <t>Hemkörning 50 km  kranbil***</t>
  </si>
  <si>
    <t>***From 2018 så skickas inte trävaror via frakt</t>
  </si>
  <si>
    <t>Optimera, Länna</t>
  </si>
  <si>
    <t>44 kr/lpm</t>
  </si>
  <si>
    <t>PLINT GRÅ 700MM</t>
  </si>
  <si>
    <t>STOLPSKO UNIFLEX 2 JUSTERBAR</t>
  </si>
  <si>
    <t>TRÄSKRUV IMPREG+ 6K 8,0X50 F50 TX40</t>
  </si>
  <si>
    <t>1,86 kr/st</t>
  </si>
  <si>
    <t>ANKARSKRUV 4,8X40 T20 C4 F250 SKÄRKANT</t>
  </si>
  <si>
    <t>0,50 kr/st</t>
  </si>
  <si>
    <t>VINKEL 70X70X55X1,5 MF CE</t>
  </si>
  <si>
    <t>4,95 kr/st</t>
  </si>
  <si>
    <t>HÅLPLATTA 120X200X2,0 CE</t>
  </si>
  <si>
    <t>19,11 kr/st</t>
  </si>
  <si>
    <t>45X170 IMP REGEL C24 NTR A 4,2 VB2925</t>
  </si>
  <si>
    <t>28X120 TRALL IMP NTR AB 4,2</t>
  </si>
  <si>
    <t>16,69 kr/lpm</t>
  </si>
  <si>
    <t>TRALLSKRUV C4 4,5X57 H1500*</t>
  </si>
  <si>
    <t>*Hink 1500 st.</t>
  </si>
  <si>
    <t>IMPREGNERAT TRALL 28X120MM 4,2</t>
  </si>
  <si>
    <t>TRALLSKRUV IMPREGX4 UTVÄNDIG TRÄ*</t>
  </si>
  <si>
    <t>*Ask 300 st + hink 1400 st</t>
  </si>
  <si>
    <t>0,39 kr/st</t>
  </si>
  <si>
    <t>IMPREGNERAT A PLH 45X170MM</t>
  </si>
  <si>
    <t>35 kr/st</t>
  </si>
  <si>
    <t>VINKEL V7 MF 70X70X55X2MM</t>
  </si>
  <si>
    <t>ANKARSKRUV FIBERCUT CORRS 5X40 1500**</t>
  </si>
  <si>
    <t>**Hink 1500 st</t>
  </si>
  <si>
    <t>PLINT 700 JUSTERBAR UTAN JÄRN M16</t>
  </si>
  <si>
    <t>STOLPSKO JUSTERBAR 2TUM M16 TILL PLINT</t>
  </si>
  <si>
    <t>99 kr /st</t>
  </si>
  <si>
    <t>2,49 kr/st</t>
  </si>
  <si>
    <t>*Har inte efterfrågad 700mm</t>
  </si>
  <si>
    <t>TRALL IMP 28x120 NTR AB G4-2</t>
  </si>
  <si>
    <t>IMP REGEL C24 45x170mm NTR A</t>
  </si>
  <si>
    <t xml:space="preserve">SPIKNINGSPLÅT SST 100x200x2 </t>
  </si>
  <si>
    <t>VINKELBESLAG MF 70x70x55x2,5</t>
  </si>
  <si>
    <t>BETONG PLINT 700MM EXKL SKO STÄLLBAR UTAN STOLPSKO</t>
  </si>
  <si>
    <t>TRÄSKRUV WAFERJETTI 8x50</t>
  </si>
  <si>
    <t xml:space="preserve">TRALLSKRUV TURBO UTV 4,2x57* </t>
  </si>
  <si>
    <t>Trall Furu Imp. G4-2 28x120 NTR-AB</t>
  </si>
  <si>
    <t>TRALLSKRUV ZFMAX 4,2X55</t>
  </si>
  <si>
    <t>REGEL FURU C24 IMPREGNERAD 45x170 NTR-A</t>
  </si>
  <si>
    <t>VINKELBESLAG ABXR MF, 70X70X1,5X55</t>
  </si>
  <si>
    <t>ANKARSKRUV FIBERCUT CORRSEAL 5X40 TX20</t>
  </si>
  <si>
    <t xml:space="preserve">PLINT 500 MM GRÅ </t>
  </si>
  <si>
    <t>STOLPSKO UNIFLEX 2" JUSTERBAR</t>
  </si>
  <si>
    <t>TRÄSKRUV BIG DOG C4 8X50</t>
  </si>
  <si>
    <t>28X120 TRALL IMP L: 5400MM IMPREG. KLASS AB G4-2 VB3000</t>
  </si>
  <si>
    <t>45X170 IMPREGNERA RPL L:4800MM FURU KLASS A C14 VB2905</t>
  </si>
  <si>
    <t>HÅLPLATTA HP 120X300X2,0</t>
  </si>
  <si>
    <t>VINKELBESLAG ABXR 70X70X1,5X55</t>
  </si>
  <si>
    <t>PLINT STÄLLBAR UTAN JÄRN 500 S:T ERIKS</t>
  </si>
  <si>
    <t>STOLPSKO JUSTERBAR 96MM S:T ERIKS</t>
  </si>
  <si>
    <t>TRÄSKRUV WAFER UTV 8X50 100ST JETTING</t>
  </si>
  <si>
    <t>Trallskruv A2 (C4) 4,2 x 55 mm</t>
  </si>
  <si>
    <t>Vinkel med förstärkning 70 X 55 X 70 förstärkt</t>
  </si>
  <si>
    <t xml:space="preserve">Ankarskruv Protect 4 (C4) 5,0 x 40 mm </t>
  </si>
  <si>
    <t>Betongplint 700 mm justerbar</t>
  </si>
  <si>
    <t>Stolpsko justerbar 3"</t>
  </si>
  <si>
    <t>TRALL IMP AB 28x120 G4-2 NTR AB</t>
  </si>
  <si>
    <t>TRALLSKRUV MAX III TX20 CORRSEAL 4,8x55</t>
  </si>
  <si>
    <t>REGEL IMP A 45X170 C14 G4-3 NTR A</t>
  </si>
  <si>
    <t>HÅLPLATTA 120x240x2</t>
  </si>
  <si>
    <t>VINKEL V7 MF 70x70x55x2 MM</t>
  </si>
  <si>
    <t>ANKARSKRUV FIBERCUT CORRSEAL TX20 5x40 MM</t>
  </si>
  <si>
    <t>PLINT 700 JUSTERBAR UTAN JÄRN</t>
  </si>
  <si>
    <t>STOLPSKO JUSTERBAR 2TUM TILL PLINT</t>
  </si>
  <si>
    <t>TRÄSKRUV CUTTERS SEXKANTHUVUD CORRSEAL 8x55MM</t>
  </si>
  <si>
    <t>28X120X4200 mm Impregnerad trall NTR AB</t>
  </si>
  <si>
    <t>TT Trallskruv , 4,2x56 mm, rostfritt stål A2, 250 styck</t>
  </si>
  <si>
    <t>45X170X3600 IMP.PROFFSREGEL NTR A C24</t>
  </si>
  <si>
    <t>JOMA Hålplatta 2,0 x 100 x 200 mm, VFZ</t>
  </si>
  <si>
    <t>VINKEL 2,5X70X70X55 MED FÖRSTÄRK VARMFÖRZINKAD</t>
  </si>
  <si>
    <t>ANKARSKRUV 5x40 250 ST ELFÖRZINKAD</t>
  </si>
  <si>
    <t>Altanplint 700 185x185x700 mm</t>
  </si>
  <si>
    <t>BENDERS Stolpsko Uniflex justerbar 2"</t>
  </si>
  <si>
    <t>Fransk träskruv DIN 571, rostfritt stål A2, 8x40 mm 20 styck</t>
  </si>
  <si>
    <t>Pall</t>
  </si>
  <si>
    <t>Medel varukorg</t>
  </si>
  <si>
    <t>Medel med frakt</t>
  </si>
  <si>
    <t>ByggOle</t>
  </si>
  <si>
    <t>ByggMax</t>
  </si>
  <si>
    <t>Karl-Hedin</t>
  </si>
  <si>
    <t>Karl-Hedin (Runt Norrtälje)</t>
  </si>
  <si>
    <t>Woody bygghandel</t>
  </si>
  <si>
    <t>Hemkörning Länna kranbil</t>
  </si>
  <si>
    <t>HÅLPLATTA HP 120X200X2</t>
  </si>
  <si>
    <t>Woody</t>
  </si>
  <si>
    <t>Beslagskruv/Ankarskruv 4,8x40mm 1200 st</t>
  </si>
  <si>
    <t>0,49kr/st</t>
  </si>
  <si>
    <t>Byggmax, Jem&amp;Fix</t>
  </si>
  <si>
    <t>ANKARSKRUV IMP+ 5,0x40**</t>
  </si>
  <si>
    <t>*Två förpackningar  1000 st + 500 st</t>
  </si>
  <si>
    <t>** 1300 stycken</t>
  </si>
  <si>
    <t>TRALLSKRUV TRB UTV 4,2X57*</t>
  </si>
  <si>
    <t>*1400 stycken i hinken</t>
  </si>
  <si>
    <t>ANKARSKRUV 4,8X40**</t>
  </si>
  <si>
    <t>**400 stycken per paket</t>
  </si>
  <si>
    <t>Här är momsen pålagd efteråt! Hur ska vi göra där?</t>
  </si>
  <si>
    <t>Bolist, Tumba Järn</t>
  </si>
  <si>
    <t>Woody Huddinge</t>
  </si>
  <si>
    <t>ByggMax/Hornbach</t>
  </si>
  <si>
    <t>per meter</t>
  </si>
  <si>
    <t>per styck</t>
  </si>
  <si>
    <t>Bolist</t>
  </si>
  <si>
    <t xml:space="preserve">Impregnerad regel 45x170 </t>
  </si>
  <si>
    <t>Impregnerad regel 45x170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</si>
</sst>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8" formatCode="#,##0.00\ &quot;kr&quot;;[Red]\-#,##0.00\ &quot;kr&quot;"/>
    <numFmt numFmtId="164" formatCode="#,##0\ &quot;kr&quot;"/>
    <numFmt numFmtId="165" formatCode="_-* #,##0\ &quot;kr&quot;_-;\-* #,##0\ &quot;kr&quot;_-;_-* &quot;-&quot;??\ &quot;kr&quot;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theme="1"/>
      <name val="Helvetica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</borders>
  <cellStyleXfs count="25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0">
    <xf numFmtId="0" fontId="0" fillId="0" borderId="0" xfId="0"/>
    <xf numFmtId="0" fontId="0" fillId="5" borderId="0" xfId="0" applyFill="1"/>
    <xf numFmtId="0" fontId="6" fillId="2" borderId="0" xfId="45"/>
    <xf numFmtId="0" fontId="7" fillId="3" borderId="0" xfId="46"/>
    <xf numFmtId="0" fontId="0" fillId="5" borderId="0" xfId="0" applyFill="1" applyAlignment="1">
      <alignment horizontal="right"/>
    </xf>
    <xf numFmtId="0" fontId="2" fillId="4" borderId="0" xfId="47"/>
    <xf numFmtId="0" fontId="2" fillId="4" borderId="0" xfId="47" applyAlignment="1">
      <alignment horizontal="right"/>
    </xf>
    <xf numFmtId="0" fontId="0" fillId="4" borderId="0" xfId="47" applyFont="1" applyAlignment="1">
      <alignment horizontal="right"/>
    </xf>
    <xf numFmtId="0" fontId="0" fillId="4" borderId="0" xfId="47" applyFont="1"/>
    <xf numFmtId="0" fontId="8" fillId="6" borderId="0" xfId="208"/>
    <xf numFmtId="0" fontId="2" fillId="5" borderId="0" xfId="47" applyFill="1" applyAlignment="1">
      <alignment horizontal="right"/>
    </xf>
    <xf numFmtId="0" fontId="0" fillId="5" borderId="0" xfId="47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6" fillId="2" borderId="0" xfId="45" applyAlignment="1">
      <alignment horizontal="right"/>
    </xf>
    <xf numFmtId="0" fontId="7" fillId="3" borderId="0" xfId="46" applyAlignment="1">
      <alignment horizontal="right"/>
    </xf>
    <xf numFmtId="0" fontId="9" fillId="7" borderId="0" xfId="0" applyFont="1" applyFill="1" applyAlignment="1">
      <alignment horizontal="right"/>
    </xf>
    <xf numFmtId="0" fontId="6" fillId="5" borderId="0" xfId="45" applyFill="1"/>
    <xf numFmtId="0" fontId="6" fillId="5" borderId="0" xfId="45" applyFill="1" applyAlignment="1">
      <alignment horizontal="right"/>
    </xf>
    <xf numFmtId="0" fontId="1" fillId="5" borderId="0" xfId="208" applyFont="1" applyFill="1" applyBorder="1"/>
    <xf numFmtId="0" fontId="0" fillId="0" borderId="0" xfId="0" applyFill="1"/>
    <xf numFmtId="0" fontId="0" fillId="9" borderId="2" xfId="0" applyFill="1" applyBorder="1"/>
    <xf numFmtId="0" fontId="9" fillId="10" borderId="2" xfId="0" applyFont="1" applyFill="1" applyBorder="1"/>
    <xf numFmtId="0" fontId="0" fillId="9" borderId="2" xfId="0" applyFill="1" applyBorder="1" applyAlignment="1">
      <alignment horizontal="right"/>
    </xf>
    <xf numFmtId="0" fontId="3" fillId="9" borderId="2" xfId="0" applyFont="1" applyFill="1" applyBorder="1"/>
    <xf numFmtId="0" fontId="11" fillId="11" borderId="2" xfId="0" applyFont="1" applyFill="1" applyBorder="1" applyAlignment="1">
      <alignment horizontal="right"/>
    </xf>
    <xf numFmtId="8" fontId="11" fillId="11" borderId="2" xfId="0" applyNumberFormat="1" applyFont="1" applyFill="1" applyBorder="1" applyAlignment="1">
      <alignment horizontal="right"/>
    </xf>
    <xf numFmtId="2" fontId="11" fillId="11" borderId="2" xfId="0" applyNumberFormat="1" applyFont="1" applyFill="1" applyBorder="1" applyAlignment="1">
      <alignment horizontal="right"/>
    </xf>
    <xf numFmtId="0" fontId="11" fillId="11" borderId="2" xfId="0" applyFont="1" applyFill="1" applyBorder="1"/>
    <xf numFmtId="2" fontId="0" fillId="9" borderId="2" xfId="0" applyNumberFormat="1" applyFill="1" applyBorder="1" applyAlignment="1">
      <alignment horizontal="right"/>
    </xf>
    <xf numFmtId="0" fontId="1" fillId="5" borderId="0" xfId="46" applyFont="1" applyFill="1"/>
    <xf numFmtId="3" fontId="1" fillId="5" borderId="0" xfId="46" applyNumberFormat="1" applyFont="1" applyFill="1"/>
    <xf numFmtId="3" fontId="0" fillId="5" borderId="0" xfId="0" applyNumberFormat="1" applyFill="1"/>
    <xf numFmtId="3" fontId="6" fillId="2" borderId="0" xfId="45" applyNumberFormat="1"/>
    <xf numFmtId="0" fontId="0" fillId="12" borderId="1" xfId="0" applyFill="1" applyBorder="1"/>
    <xf numFmtId="0" fontId="0" fillId="12" borderId="2" xfId="0" applyFill="1" applyBorder="1" applyAlignment="1">
      <alignment horizontal="right"/>
    </xf>
    <xf numFmtId="2" fontId="0" fillId="12" borderId="2" xfId="0" applyNumberFormat="1" applyFill="1" applyBorder="1" applyAlignment="1">
      <alignment horizontal="right"/>
    </xf>
    <xf numFmtId="0" fontId="0" fillId="12" borderId="2" xfId="0" applyFill="1" applyBorder="1"/>
    <xf numFmtId="1" fontId="11" fillId="11" borderId="2" xfId="0" applyNumberFormat="1" applyFont="1" applyFill="1" applyBorder="1"/>
    <xf numFmtId="1" fontId="0" fillId="12" borderId="2" xfId="0" applyNumberFormat="1" applyFill="1" applyBorder="1" applyAlignment="1">
      <alignment horizontal="right"/>
    </xf>
    <xf numFmtId="1" fontId="0" fillId="9" borderId="2" xfId="0" applyNumberFormat="1" applyFill="1" applyBorder="1"/>
    <xf numFmtId="1" fontId="0" fillId="12" borderId="2" xfId="0" applyNumberFormat="1" applyFill="1" applyBorder="1"/>
    <xf numFmtId="1" fontId="0" fillId="9" borderId="2" xfId="0" applyNumberFormat="1" applyFill="1" applyBorder="1" applyAlignment="1">
      <alignment horizontal="right"/>
    </xf>
    <xf numFmtId="1" fontId="3" fillId="9" borderId="2" xfId="0" applyNumberFormat="1" applyFont="1" applyFill="1" applyBorder="1" applyAlignment="1">
      <alignment horizontal="right"/>
    </xf>
    <xf numFmtId="1" fontId="0" fillId="9" borderId="2" xfId="0" applyNumberFormat="1" applyFont="1" applyFill="1" applyBorder="1"/>
    <xf numFmtId="1" fontId="0" fillId="5" borderId="0" xfId="0" applyNumberFormat="1" applyFill="1" applyAlignment="1">
      <alignment horizontal="right"/>
    </xf>
    <xf numFmtId="1" fontId="0" fillId="5" borderId="0" xfId="0" applyNumberFormat="1" applyFill="1"/>
    <xf numFmtId="0" fontId="0" fillId="5" borderId="0" xfId="46" applyFont="1" applyFill="1"/>
    <xf numFmtId="164" fontId="6" fillId="2" borderId="0" xfId="45" applyNumberFormat="1" applyAlignment="1">
      <alignment horizontal="right"/>
    </xf>
    <xf numFmtId="164" fontId="9" fillId="7" borderId="0" xfId="0" applyNumberFormat="1" applyFont="1" applyFill="1" applyAlignment="1">
      <alignment horizontal="right"/>
    </xf>
    <xf numFmtId="164" fontId="0" fillId="5" borderId="0" xfId="0" applyNumberFormat="1" applyFill="1" applyAlignment="1">
      <alignment horizontal="right"/>
    </xf>
    <xf numFmtId="164" fontId="0" fillId="5" borderId="0" xfId="0" applyNumberFormat="1" applyFill="1"/>
    <xf numFmtId="164" fontId="1" fillId="5" borderId="0" xfId="46" applyNumberFormat="1" applyFont="1" applyFill="1" applyAlignment="1">
      <alignment horizontal="right"/>
    </xf>
    <xf numFmtId="165" fontId="6" fillId="2" borderId="0" xfId="45" applyNumberFormat="1" applyAlignment="1">
      <alignment horizontal="right"/>
    </xf>
    <xf numFmtId="165" fontId="0" fillId="5" borderId="0" xfId="0" applyNumberFormat="1" applyFill="1" applyAlignment="1">
      <alignment horizontal="right"/>
    </xf>
    <xf numFmtId="165" fontId="7" fillId="3" borderId="0" xfId="46" applyNumberFormat="1" applyAlignment="1">
      <alignment horizontal="right"/>
    </xf>
    <xf numFmtId="165" fontId="7" fillId="3" borderId="0" xfId="46" applyNumberFormat="1"/>
    <xf numFmtId="1" fontId="6" fillId="2" borderId="0" xfId="45" applyNumberFormat="1"/>
    <xf numFmtId="0" fontId="3" fillId="13" borderId="0" xfId="47" applyFont="1" applyFill="1" applyBorder="1"/>
    <xf numFmtId="0" fontId="2" fillId="13" borderId="0" xfId="47" applyFill="1" applyBorder="1"/>
    <xf numFmtId="0" fontId="3" fillId="13" borderId="3" xfId="47" applyFont="1" applyFill="1" applyBorder="1"/>
    <xf numFmtId="0" fontId="3" fillId="13" borderId="3" xfId="47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2" fillId="13" borderId="0" xfId="47" applyFill="1" applyBorder="1" applyAlignment="1">
      <alignment horizontal="right"/>
    </xf>
    <xf numFmtId="0" fontId="0" fillId="0" borderId="0" xfId="0" applyAlignment="1">
      <alignment horizontal="right"/>
    </xf>
    <xf numFmtId="0" fontId="3" fillId="13" borderId="3" xfId="0" applyFont="1" applyFill="1" applyBorder="1"/>
    <xf numFmtId="0" fontId="3" fillId="13" borderId="3" xfId="0" applyFont="1" applyFill="1" applyBorder="1" applyAlignment="1">
      <alignment horizontal="right"/>
    </xf>
    <xf numFmtId="0" fontId="0" fillId="13" borderId="3" xfId="0" applyFill="1" applyBorder="1"/>
    <xf numFmtId="0" fontId="3" fillId="5" borderId="4" xfId="0" applyFont="1" applyFill="1" applyBorder="1"/>
    <xf numFmtId="1" fontId="3" fillId="5" borderId="4" xfId="0" applyNumberFormat="1" applyFont="1" applyFill="1" applyBorder="1" applyAlignment="1">
      <alignment horizontal="right"/>
    </xf>
    <xf numFmtId="0" fontId="0" fillId="5" borderId="4" xfId="0" applyFill="1" applyBorder="1"/>
    <xf numFmtId="165" fontId="3" fillId="5" borderId="4" xfId="0" applyNumberFormat="1" applyFont="1" applyFill="1" applyBorder="1" applyAlignment="1">
      <alignment horizontal="right"/>
    </xf>
    <xf numFmtId="0" fontId="7" fillId="3" borderId="0" xfId="46" applyBorder="1"/>
    <xf numFmtId="164" fontId="7" fillId="3" borderId="0" xfId="46" applyNumberFormat="1" applyBorder="1" applyAlignment="1">
      <alignment horizontal="right"/>
    </xf>
    <xf numFmtId="3" fontId="7" fillId="3" borderId="0" xfId="46" applyNumberFormat="1" applyBorder="1"/>
    <xf numFmtId="164" fontId="3" fillId="5" borderId="4" xfId="0" applyNumberFormat="1" applyFont="1" applyFill="1" applyBorder="1" applyAlignment="1">
      <alignment horizontal="right"/>
    </xf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6" fontId="11" fillId="11" borderId="2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horizontal="right"/>
    </xf>
    <xf numFmtId="0" fontId="12" fillId="11" borderId="2" xfId="0" applyFont="1" applyFill="1" applyBorder="1"/>
    <xf numFmtId="1" fontId="12" fillId="11" borderId="2" xfId="0" applyNumberFormat="1" applyFont="1" applyFill="1" applyBorder="1"/>
    <xf numFmtId="0" fontId="3" fillId="12" borderId="2" xfId="0" applyFont="1" applyFill="1" applyBorder="1"/>
    <xf numFmtId="0" fontId="3" fillId="12" borderId="2" xfId="0" applyFont="1" applyFill="1" applyBorder="1" applyAlignment="1">
      <alignment horizontal="right"/>
    </xf>
    <xf numFmtId="1" fontId="3" fillId="12" borderId="2" xfId="0" applyNumberFormat="1" applyFont="1" applyFill="1" applyBorder="1" applyAlignment="1">
      <alignment horizontal="right"/>
    </xf>
    <xf numFmtId="1" fontId="3" fillId="9" borderId="2" xfId="0" applyNumberFormat="1" applyFont="1" applyFill="1" applyBorder="1"/>
    <xf numFmtId="1" fontId="3" fillId="12" borderId="2" xfId="0" applyNumberFormat="1" applyFont="1" applyFill="1" applyBorder="1"/>
    <xf numFmtId="0" fontId="3" fillId="9" borderId="7" xfId="0" applyFont="1" applyFill="1" applyBorder="1"/>
    <xf numFmtId="1" fontId="3" fillId="9" borderId="7" xfId="45" applyNumberFormat="1" applyFont="1" applyFill="1" applyBorder="1"/>
    <xf numFmtId="0" fontId="3" fillId="9" borderId="7" xfId="0" applyFont="1" applyFill="1" applyBorder="1" applyAlignment="1">
      <alignment horizontal="right"/>
    </xf>
    <xf numFmtId="1" fontId="3" fillId="9" borderId="7" xfId="0" applyNumberFormat="1" applyFont="1" applyFill="1" applyBorder="1" applyAlignment="1">
      <alignment horizontal="right"/>
    </xf>
    <xf numFmtId="0" fontId="12" fillId="11" borderId="7" xfId="0" applyFont="1" applyFill="1" applyBorder="1"/>
    <xf numFmtId="1" fontId="12" fillId="11" borderId="7" xfId="0" applyNumberFormat="1" applyFont="1" applyFill="1" applyBorder="1"/>
    <xf numFmtId="0" fontId="3" fillId="12" borderId="7" xfId="0" applyFont="1" applyFill="1" applyBorder="1"/>
    <xf numFmtId="0" fontId="3" fillId="12" borderId="7" xfId="0" applyFont="1" applyFill="1" applyBorder="1" applyAlignment="1">
      <alignment horizontal="right"/>
    </xf>
    <xf numFmtId="1" fontId="3" fillId="12" borderId="7" xfId="0" applyNumberFormat="1" applyFont="1" applyFill="1" applyBorder="1" applyAlignment="1">
      <alignment horizontal="right"/>
    </xf>
    <xf numFmtId="1" fontId="3" fillId="9" borderId="7" xfId="0" applyNumberFormat="1" applyFont="1" applyFill="1" applyBorder="1"/>
    <xf numFmtId="0" fontId="3" fillId="0" borderId="4" xfId="0" applyFont="1" applyBorder="1"/>
    <xf numFmtId="0" fontId="3" fillId="9" borderId="10" xfId="0" applyFont="1" applyFill="1" applyBorder="1"/>
    <xf numFmtId="1" fontId="3" fillId="9" borderId="10" xfId="45" applyNumberFormat="1" applyFont="1" applyFill="1" applyBorder="1"/>
    <xf numFmtId="0" fontId="3" fillId="9" borderId="10" xfId="0" applyFont="1" applyFill="1" applyBorder="1" applyAlignment="1">
      <alignment horizontal="right"/>
    </xf>
    <xf numFmtId="1" fontId="3" fillId="9" borderId="10" xfId="0" applyNumberFormat="1" applyFont="1" applyFill="1" applyBorder="1" applyAlignment="1">
      <alignment horizontal="right"/>
    </xf>
    <xf numFmtId="0" fontId="12" fillId="11" borderId="10" xfId="0" applyFont="1" applyFill="1" applyBorder="1"/>
    <xf numFmtId="1" fontId="12" fillId="11" borderId="10" xfId="0" applyNumberFormat="1" applyFont="1" applyFill="1" applyBorder="1"/>
    <xf numFmtId="1" fontId="3" fillId="9" borderId="10" xfId="0" applyNumberFormat="1" applyFont="1" applyFill="1" applyBorder="1"/>
    <xf numFmtId="0" fontId="3" fillId="12" borderId="10" xfId="0" applyFont="1" applyFill="1" applyBorder="1"/>
    <xf numFmtId="1" fontId="3" fillId="12" borderId="10" xfId="0" applyNumberFormat="1" applyFont="1" applyFill="1" applyBorder="1"/>
    <xf numFmtId="0" fontId="3" fillId="3" borderId="10" xfId="46" applyFont="1" applyBorder="1"/>
    <xf numFmtId="0" fontId="3" fillId="0" borderId="8" xfId="0" applyFont="1" applyBorder="1"/>
    <xf numFmtId="0" fontId="9" fillId="10" borderId="2" xfId="0" applyFont="1" applyFill="1" applyBorder="1" applyAlignment="1">
      <alignment horizontal="right"/>
    </xf>
    <xf numFmtId="0" fontId="3" fillId="8" borderId="3" xfId="0" applyFont="1" applyFill="1" applyBorder="1"/>
    <xf numFmtId="0" fontId="3" fillId="8" borderId="3" xfId="0" applyFont="1" applyFill="1" applyBorder="1" applyAlignment="1">
      <alignment horizontal="right"/>
    </xf>
    <xf numFmtId="1" fontId="3" fillId="12" borderId="7" xfId="46" applyNumberFormat="1" applyFont="1" applyFill="1" applyBorder="1" applyAlignment="1">
      <alignment horizontal="right"/>
    </xf>
    <xf numFmtId="0" fontId="7" fillId="12" borderId="2" xfId="46" applyFill="1" applyBorder="1" applyAlignment="1">
      <alignment horizontal="right"/>
    </xf>
    <xf numFmtId="0" fontId="1" fillId="12" borderId="2" xfId="46" applyFont="1" applyFill="1" applyBorder="1" applyAlignment="1">
      <alignment horizontal="right"/>
    </xf>
    <xf numFmtId="0" fontId="7" fillId="12" borderId="7" xfId="46" applyFill="1" applyBorder="1" applyAlignment="1">
      <alignment horizontal="right"/>
    </xf>
    <xf numFmtId="0" fontId="7" fillId="12" borderId="2" xfId="46" applyFill="1" applyBorder="1"/>
    <xf numFmtId="1" fontId="0" fillId="12" borderId="2" xfId="46" applyNumberFormat="1" applyFont="1" applyFill="1" applyBorder="1"/>
    <xf numFmtId="0" fontId="1" fillId="12" borderId="2" xfId="46" applyFont="1" applyFill="1" applyBorder="1"/>
    <xf numFmtId="0" fontId="7" fillId="12" borderId="10" xfId="46" applyFill="1" applyBorder="1"/>
    <xf numFmtId="1" fontId="1" fillId="12" borderId="10" xfId="46" applyNumberFormat="1" applyFont="1" applyFill="1" applyBorder="1"/>
    <xf numFmtId="0" fontId="13" fillId="12" borderId="2" xfId="0" applyFont="1" applyFill="1" applyBorder="1"/>
    <xf numFmtId="1" fontId="11" fillId="10" borderId="2" xfId="0" applyNumberFormat="1" applyFont="1" applyFill="1" applyBorder="1"/>
    <xf numFmtId="0" fontId="9" fillId="15" borderId="2" xfId="0" applyFont="1" applyFill="1" applyBorder="1"/>
    <xf numFmtId="1" fontId="3" fillId="12" borderId="7" xfId="0" applyNumberFormat="1" applyFont="1" applyFill="1" applyBorder="1"/>
    <xf numFmtId="0" fontId="9" fillId="15" borderId="2" xfId="0" applyFont="1" applyFill="1" applyBorder="1" applyAlignment="1">
      <alignment horizontal="right"/>
    </xf>
    <xf numFmtId="6" fontId="0" fillId="12" borderId="2" xfId="0" applyNumberFormat="1" applyFill="1" applyBorder="1" applyAlignment="1">
      <alignment horizontal="right"/>
    </xf>
    <xf numFmtId="0" fontId="3" fillId="12" borderId="10" xfId="0" applyFont="1" applyFill="1" applyBorder="1" applyAlignment="1">
      <alignment horizontal="right"/>
    </xf>
    <xf numFmtId="1" fontId="3" fillId="12" borderId="10" xfId="0" applyNumberFormat="1" applyFont="1" applyFill="1" applyBorder="1" applyAlignment="1">
      <alignment horizontal="right"/>
    </xf>
    <xf numFmtId="0" fontId="3" fillId="12" borderId="6" xfId="0" applyFont="1" applyFill="1" applyBorder="1"/>
    <xf numFmtId="1" fontId="10" fillId="12" borderId="7" xfId="46" applyNumberFormat="1" applyFont="1" applyFill="1" applyBorder="1"/>
    <xf numFmtId="0" fontId="3" fillId="12" borderId="1" xfId="0" applyFont="1" applyFill="1" applyBorder="1"/>
    <xf numFmtId="0" fontId="3" fillId="12" borderId="9" xfId="0" applyFont="1" applyFill="1" applyBorder="1"/>
    <xf numFmtId="0" fontId="3" fillId="8" borderId="0" xfId="0" applyFont="1" applyFill="1"/>
    <xf numFmtId="0" fontId="3" fillId="8" borderId="4" xfId="0" applyFont="1" applyFill="1" applyBorder="1"/>
    <xf numFmtId="0" fontId="0" fillId="8" borderId="0" xfId="0" applyFill="1" applyBorder="1"/>
    <xf numFmtId="0" fontId="3" fillId="8" borderId="8" xfId="0" applyFont="1" applyFill="1" applyBorder="1"/>
    <xf numFmtId="0" fontId="0" fillId="14" borderId="0" xfId="0" applyFill="1"/>
    <xf numFmtId="0" fontId="3" fillId="8" borderId="0" xfId="0" applyFont="1" applyFill="1" applyAlignment="1">
      <alignment horizontal="right"/>
    </xf>
    <xf numFmtId="0" fontId="3" fillId="8" borderId="4" xfId="0" applyFont="1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3" fillId="8" borderId="8" xfId="0" applyFont="1" applyFill="1" applyBorder="1" applyAlignment="1">
      <alignment horizontal="right"/>
    </xf>
    <xf numFmtId="1" fontId="3" fillId="14" borderId="0" xfId="0" applyNumberFormat="1" applyFont="1" applyFill="1" applyAlignment="1">
      <alignment horizontal="right"/>
    </xf>
    <xf numFmtId="1" fontId="7" fillId="3" borderId="10" xfId="46" applyNumberFormat="1" applyBorder="1"/>
    <xf numFmtId="1" fontId="7" fillId="3" borderId="7" xfId="46" applyNumberFormat="1" applyBorder="1"/>
    <xf numFmtId="1" fontId="6" fillId="2" borderId="7" xfId="45" applyNumberFormat="1" applyBorder="1" applyAlignment="1">
      <alignment horizontal="right"/>
    </xf>
    <xf numFmtId="1" fontId="6" fillId="2" borderId="10" xfId="45" applyNumberFormat="1" applyBorder="1"/>
  </cellXfs>
  <cellStyles count="257">
    <cellStyle name="20 % - Dekorfärg6" xfId="47" builtinId="50"/>
    <cellStyle name="Bra" xfId="45" builtinId="26"/>
    <cellStyle name="Dålig" xfId="46" builtinId="27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Neutral" xfId="208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46"/>
  <sheetViews>
    <sheetView tabSelected="1" zoomScale="98" workbookViewId="0">
      <selection activeCell="C36" sqref="C36"/>
    </sheetView>
  </sheetViews>
  <sheetFormatPr baseColWidth="10" defaultRowHeight="16" x14ac:dyDescent="0.2"/>
  <cols>
    <col min="1" max="1" width="54.33203125" customWidth="1"/>
    <col min="2" max="2" width="16.5" customWidth="1"/>
    <col min="3" max="3" width="52" customWidth="1"/>
    <col min="4" max="4" width="11.5" customWidth="1"/>
    <col min="5" max="6" width="12.1640625" customWidth="1"/>
    <col min="7" max="7" width="15.33203125" customWidth="1"/>
    <col min="8" max="8" width="14.6640625" customWidth="1"/>
    <col min="9" max="9" width="12.5" customWidth="1"/>
    <col min="10" max="10" width="12.1640625" customWidth="1"/>
    <col min="11" max="11" width="41.1640625" customWidth="1"/>
    <col min="12" max="12" width="13" customWidth="1"/>
    <col min="13" max="15" width="17" customWidth="1"/>
    <col min="16" max="18" width="17.33203125" customWidth="1"/>
    <col min="19" max="19" width="43.1640625" customWidth="1"/>
    <col min="20" max="20" width="14" customWidth="1"/>
    <col min="21" max="21" width="14.6640625" customWidth="1"/>
    <col min="22" max="22" width="14.83203125" customWidth="1"/>
    <col min="23" max="23" width="14.5" customWidth="1"/>
    <col min="24" max="24" width="13.83203125" customWidth="1"/>
    <col min="25" max="25" width="14.83203125" customWidth="1"/>
    <col min="27" max="27" width="51.1640625" customWidth="1"/>
    <col min="28" max="28" width="13.5" customWidth="1"/>
    <col min="29" max="29" width="16.1640625" customWidth="1"/>
    <col min="30" max="31" width="14" customWidth="1"/>
    <col min="32" max="32" width="13.5" customWidth="1"/>
    <col min="33" max="34" width="14.5" customWidth="1"/>
    <col min="35" max="35" width="46.1640625" customWidth="1"/>
    <col min="36" max="36" width="15.33203125" customWidth="1"/>
    <col min="37" max="37" width="14.6640625" customWidth="1"/>
    <col min="38" max="38" width="14" customWidth="1"/>
    <col min="39" max="40" width="14.5" customWidth="1"/>
    <col min="41" max="41" width="12.6640625" customWidth="1"/>
    <col min="42" max="42" width="14.33203125" customWidth="1"/>
    <col min="43" max="43" width="42.5" customWidth="1"/>
    <col min="44" max="44" width="15.1640625" customWidth="1"/>
    <col min="45" max="45" width="15.6640625" customWidth="1"/>
    <col min="46" max="47" width="15.83203125" customWidth="1"/>
    <col min="48" max="48" width="15.5" customWidth="1"/>
    <col min="49" max="49" width="14" customWidth="1"/>
    <col min="50" max="50" width="13.33203125" customWidth="1"/>
    <col min="51" max="51" width="50.6640625" customWidth="1"/>
    <col min="52" max="52" width="15.1640625" customWidth="1"/>
    <col min="53" max="53" width="14" customWidth="1"/>
    <col min="54" max="54" width="13.83203125" customWidth="1"/>
    <col min="55" max="55" width="14.6640625" customWidth="1"/>
    <col min="56" max="57" width="15.5" customWidth="1"/>
    <col min="58" max="58" width="15.83203125" customWidth="1"/>
    <col min="59" max="59" width="59.83203125" customWidth="1"/>
    <col min="60" max="60" width="13.5" customWidth="1"/>
    <col min="61" max="61" width="12.6640625" customWidth="1"/>
    <col min="62" max="63" width="12.5" customWidth="1"/>
    <col min="64" max="64" width="13.1640625" customWidth="1"/>
    <col min="65" max="65" width="14.33203125" customWidth="1"/>
    <col min="66" max="66" width="13.5" customWidth="1"/>
    <col min="67" max="67" width="38.83203125" customWidth="1"/>
    <col min="68" max="68" width="13.33203125" customWidth="1"/>
    <col min="69" max="69" width="12.5" customWidth="1"/>
    <col min="70" max="70" width="13.1640625" customWidth="1"/>
    <col min="71" max="71" width="12.5" customWidth="1"/>
    <col min="72" max="72" width="12.1640625" customWidth="1"/>
    <col min="73" max="74" width="12.33203125" customWidth="1"/>
    <col min="75" max="75" width="52.33203125" customWidth="1"/>
    <col min="76" max="76" width="13" customWidth="1"/>
    <col min="83" max="83" width="51.5" bestFit="1" customWidth="1"/>
    <col min="86" max="87" width="13" customWidth="1"/>
    <col min="88" max="88" width="14" customWidth="1"/>
    <col min="89" max="89" width="14.83203125" customWidth="1"/>
    <col min="90" max="90" width="13.1640625" customWidth="1"/>
    <col min="91" max="91" width="50" customWidth="1"/>
    <col min="92" max="92" width="13" customWidth="1"/>
    <col min="93" max="93" width="12.83203125" customWidth="1"/>
    <col min="94" max="94" width="12.5" customWidth="1"/>
    <col min="95" max="95" width="13" customWidth="1"/>
    <col min="96" max="96" width="11.33203125" bestFit="1" customWidth="1"/>
    <col min="97" max="98" width="11.33203125" customWidth="1"/>
    <col min="99" max="99" width="44" customWidth="1"/>
    <col min="100" max="100" width="13" customWidth="1"/>
    <col min="101" max="101" width="11.83203125" customWidth="1"/>
    <col min="102" max="102" width="13.5" customWidth="1"/>
    <col min="103" max="103" width="13.1640625" customWidth="1"/>
    <col min="104" max="105" width="12.5" customWidth="1"/>
    <col min="106" max="106" width="43" customWidth="1"/>
  </cols>
  <sheetData>
    <row r="1" spans="1:113" s="113" customFormat="1" x14ac:dyDescent="0.2">
      <c r="A1" s="113" t="s">
        <v>119</v>
      </c>
      <c r="B1" s="114" t="s">
        <v>0</v>
      </c>
      <c r="C1" s="113" t="s">
        <v>320</v>
      </c>
      <c r="D1" s="113" t="s">
        <v>0</v>
      </c>
      <c r="E1" s="113" t="s">
        <v>308</v>
      </c>
      <c r="F1" s="113" t="s">
        <v>282</v>
      </c>
      <c r="G1" s="113" t="s">
        <v>316</v>
      </c>
      <c r="H1" s="113" t="s">
        <v>309</v>
      </c>
      <c r="I1" s="113" t="s">
        <v>283</v>
      </c>
      <c r="J1" s="113" t="s">
        <v>315</v>
      </c>
      <c r="K1" s="113" t="s">
        <v>166</v>
      </c>
      <c r="L1" s="113" t="s">
        <v>0</v>
      </c>
      <c r="M1" s="113" t="s">
        <v>308</v>
      </c>
      <c r="N1" s="113" t="s">
        <v>282</v>
      </c>
      <c r="O1" s="114" t="s">
        <v>316</v>
      </c>
      <c r="P1" s="113" t="s">
        <v>309</v>
      </c>
      <c r="Q1" s="113" t="s">
        <v>283</v>
      </c>
      <c r="R1" s="113" t="s">
        <v>315</v>
      </c>
      <c r="S1" s="113" t="s">
        <v>165</v>
      </c>
      <c r="T1" s="113" t="s">
        <v>0</v>
      </c>
      <c r="U1" s="113" t="s">
        <v>308</v>
      </c>
      <c r="V1" s="113" t="s">
        <v>282</v>
      </c>
      <c r="W1" s="113" t="s">
        <v>316</v>
      </c>
      <c r="X1" s="113" t="s">
        <v>309</v>
      </c>
      <c r="Y1" s="113" t="s">
        <v>283</v>
      </c>
      <c r="Z1" s="113" t="s">
        <v>315</v>
      </c>
      <c r="AA1" s="113" t="s">
        <v>133</v>
      </c>
      <c r="AB1" s="113" t="s">
        <v>0</v>
      </c>
      <c r="AC1" s="113" t="s">
        <v>308</v>
      </c>
      <c r="AD1" s="113" t="s">
        <v>282</v>
      </c>
      <c r="AE1" s="113" t="s">
        <v>316</v>
      </c>
      <c r="AF1" s="113" t="s">
        <v>309</v>
      </c>
      <c r="AG1" s="113" t="s">
        <v>283</v>
      </c>
      <c r="AH1" s="113" t="s">
        <v>315</v>
      </c>
      <c r="AI1" s="113" t="s">
        <v>164</v>
      </c>
      <c r="AJ1" s="113" t="s">
        <v>0</v>
      </c>
      <c r="AK1" s="113" t="s">
        <v>308</v>
      </c>
      <c r="AL1" s="113" t="s">
        <v>282</v>
      </c>
      <c r="AM1" s="113" t="s">
        <v>316</v>
      </c>
      <c r="AN1" s="113" t="s">
        <v>309</v>
      </c>
      <c r="AO1" s="113" t="s">
        <v>283</v>
      </c>
      <c r="AP1" s="113" t="s">
        <v>315</v>
      </c>
      <c r="AQ1" s="113" t="s">
        <v>380</v>
      </c>
      <c r="AR1" s="113" t="s">
        <v>0</v>
      </c>
      <c r="AS1" s="113" t="s">
        <v>308</v>
      </c>
      <c r="AT1" s="113" t="s">
        <v>282</v>
      </c>
      <c r="AU1" s="113" t="s">
        <v>316</v>
      </c>
      <c r="AV1" s="113" t="s">
        <v>309</v>
      </c>
      <c r="AW1" s="113" t="s">
        <v>283</v>
      </c>
      <c r="AX1" s="113" t="s">
        <v>315</v>
      </c>
      <c r="AY1" s="113" t="s">
        <v>163</v>
      </c>
      <c r="AZ1" s="113" t="s">
        <v>0</v>
      </c>
      <c r="BA1" s="113" t="s">
        <v>308</v>
      </c>
      <c r="BB1" s="113" t="s">
        <v>282</v>
      </c>
      <c r="BC1" s="113" t="s">
        <v>316</v>
      </c>
      <c r="BD1" s="113" t="s">
        <v>309</v>
      </c>
      <c r="BE1" s="113" t="s">
        <v>283</v>
      </c>
      <c r="BF1" s="113" t="s">
        <v>315</v>
      </c>
      <c r="BG1" s="113" t="s">
        <v>162</v>
      </c>
      <c r="BH1" s="113" t="s">
        <v>0</v>
      </c>
      <c r="BI1" s="113" t="s">
        <v>308</v>
      </c>
      <c r="BJ1" s="113" t="s">
        <v>282</v>
      </c>
      <c r="BK1" s="113" t="s">
        <v>316</v>
      </c>
      <c r="BL1" s="113" t="s">
        <v>309</v>
      </c>
      <c r="BM1" s="113" t="s">
        <v>283</v>
      </c>
      <c r="BN1" s="113" t="s">
        <v>315</v>
      </c>
      <c r="BO1" s="113" t="s">
        <v>59</v>
      </c>
      <c r="BP1" s="113" t="s">
        <v>0</v>
      </c>
      <c r="BQ1" s="113" t="s">
        <v>308</v>
      </c>
      <c r="BR1" s="113" t="s">
        <v>282</v>
      </c>
      <c r="BS1" s="113" t="s">
        <v>316</v>
      </c>
      <c r="BT1" s="113" t="s">
        <v>309</v>
      </c>
      <c r="BU1" s="113" t="s">
        <v>283</v>
      </c>
      <c r="BV1" s="113" t="s">
        <v>315</v>
      </c>
      <c r="BW1" s="113" t="s">
        <v>60</v>
      </c>
      <c r="BX1" s="113" t="s">
        <v>0</v>
      </c>
      <c r="BY1" s="113" t="s">
        <v>308</v>
      </c>
      <c r="BZ1" s="113" t="s">
        <v>282</v>
      </c>
      <c r="CA1" s="113" t="s">
        <v>316</v>
      </c>
      <c r="CB1" s="113" t="s">
        <v>309</v>
      </c>
      <c r="CC1" s="113" t="s">
        <v>283</v>
      </c>
      <c r="CD1" s="113" t="s">
        <v>315</v>
      </c>
      <c r="CE1" s="113" t="s">
        <v>161</v>
      </c>
      <c r="CF1" s="113" t="s">
        <v>0</v>
      </c>
      <c r="CG1" s="113" t="s">
        <v>308</v>
      </c>
      <c r="CH1" s="113" t="s">
        <v>282</v>
      </c>
      <c r="CI1" s="113" t="s">
        <v>316</v>
      </c>
      <c r="CJ1" s="113" t="s">
        <v>309</v>
      </c>
      <c r="CK1" s="113" t="s">
        <v>283</v>
      </c>
      <c r="CL1" s="113" t="s">
        <v>315</v>
      </c>
      <c r="CM1" s="113" t="s">
        <v>160</v>
      </c>
      <c r="CN1" s="113" t="s">
        <v>0</v>
      </c>
      <c r="CO1" s="113" t="s">
        <v>308</v>
      </c>
      <c r="CP1" s="113" t="s">
        <v>282</v>
      </c>
      <c r="CQ1" s="113" t="s">
        <v>316</v>
      </c>
      <c r="CR1" s="113" t="s">
        <v>309</v>
      </c>
      <c r="CS1" s="113" t="s">
        <v>283</v>
      </c>
      <c r="CT1" s="113" t="s">
        <v>315</v>
      </c>
      <c r="CU1" s="113" t="s">
        <v>478</v>
      </c>
      <c r="CV1" s="113" t="s">
        <v>0</v>
      </c>
      <c r="CW1" s="113" t="s">
        <v>308</v>
      </c>
      <c r="CX1" s="113" t="s">
        <v>316</v>
      </c>
      <c r="CY1" s="113" t="s">
        <v>309</v>
      </c>
      <c r="CZ1" s="113" t="s">
        <v>283</v>
      </c>
      <c r="DA1" s="113" t="s">
        <v>315</v>
      </c>
      <c r="DB1" s="113" t="s">
        <v>128</v>
      </c>
      <c r="DC1" s="113" t="s">
        <v>0</v>
      </c>
      <c r="DD1" s="113" t="s">
        <v>308</v>
      </c>
      <c r="DE1" s="113" t="s">
        <v>282</v>
      </c>
      <c r="DF1" s="113" t="s">
        <v>316</v>
      </c>
      <c r="DG1" s="113" t="s">
        <v>309</v>
      </c>
      <c r="DH1" s="113" t="s">
        <v>283</v>
      </c>
      <c r="DI1" s="113" t="s">
        <v>315</v>
      </c>
    </row>
    <row r="2" spans="1:113" x14ac:dyDescent="0.2">
      <c r="A2" s="136" t="s">
        <v>43</v>
      </c>
      <c r="B2" s="141" t="s">
        <v>42</v>
      </c>
      <c r="C2" s="33" t="s">
        <v>317</v>
      </c>
      <c r="D2" s="36" t="s">
        <v>42</v>
      </c>
      <c r="E2" s="34" t="s">
        <v>84</v>
      </c>
      <c r="F2" s="34" t="s">
        <v>228</v>
      </c>
      <c r="G2" s="34" t="s">
        <v>318</v>
      </c>
      <c r="H2" s="40">
        <v>5974</v>
      </c>
      <c r="I2" s="40">
        <v>6029.1</v>
      </c>
      <c r="J2" s="40">
        <v>6592</v>
      </c>
      <c r="K2" s="20" t="s">
        <v>85</v>
      </c>
      <c r="L2" s="21" t="s">
        <v>42</v>
      </c>
      <c r="M2" s="22" t="s">
        <v>86</v>
      </c>
      <c r="N2" s="22" t="s">
        <v>235</v>
      </c>
      <c r="O2" s="22" t="s">
        <v>335</v>
      </c>
      <c r="P2" s="39">
        <v>4099.3999999999996</v>
      </c>
      <c r="Q2" s="39">
        <v>4511.3999999999996</v>
      </c>
      <c r="R2" s="39">
        <v>4861.6000000000004</v>
      </c>
      <c r="S2" s="36" t="s">
        <v>350</v>
      </c>
      <c r="T2" s="34" t="s">
        <v>42</v>
      </c>
      <c r="U2" s="34" t="s">
        <v>180</v>
      </c>
      <c r="V2" s="34" t="s">
        <v>244</v>
      </c>
      <c r="W2" s="34">
        <v>13.95</v>
      </c>
      <c r="X2" s="38">
        <v>4902.8</v>
      </c>
      <c r="Y2" s="38">
        <v>5335.4</v>
      </c>
      <c r="Z2" s="38">
        <v>5747.4</v>
      </c>
      <c r="AA2" s="20" t="s">
        <v>359</v>
      </c>
      <c r="AB2" s="22" t="s">
        <v>42</v>
      </c>
      <c r="AC2" s="22" t="s">
        <v>87</v>
      </c>
      <c r="AD2" s="22" t="s">
        <v>247</v>
      </c>
      <c r="AE2" s="22" t="s">
        <v>360</v>
      </c>
      <c r="AF2" s="41">
        <v>7374.8</v>
      </c>
      <c r="AG2" s="41">
        <v>7828</v>
      </c>
      <c r="AH2" s="41">
        <v>6715.6</v>
      </c>
      <c r="AI2" s="36" t="s">
        <v>368</v>
      </c>
      <c r="AJ2" s="128" t="s">
        <v>42</v>
      </c>
      <c r="AK2" s="34" t="s">
        <v>178</v>
      </c>
      <c r="AL2" s="34" t="s">
        <v>254</v>
      </c>
      <c r="AM2" s="34" t="s">
        <v>369</v>
      </c>
      <c r="AN2" s="38">
        <v>4511.3999999999996</v>
      </c>
      <c r="AO2" s="38">
        <v>6159.4</v>
      </c>
      <c r="AP2" s="38">
        <v>6324.2</v>
      </c>
      <c r="AQ2" s="20" t="s">
        <v>393</v>
      </c>
      <c r="AR2" s="112" t="s">
        <v>42</v>
      </c>
      <c r="AS2" s="22" t="s">
        <v>175</v>
      </c>
      <c r="AT2" s="22" t="s">
        <v>260</v>
      </c>
      <c r="AU2" s="22" t="s">
        <v>394</v>
      </c>
      <c r="AV2" s="41">
        <v>6160.38</v>
      </c>
      <c r="AW2" s="41">
        <v>6217.2</v>
      </c>
      <c r="AX2" s="41">
        <v>6875.25</v>
      </c>
      <c r="AY2" s="36" t="s">
        <v>397</v>
      </c>
      <c r="AZ2" s="126" t="s">
        <v>42</v>
      </c>
      <c r="BA2" s="34" t="s">
        <v>181</v>
      </c>
      <c r="BB2" s="34">
        <v>12.95</v>
      </c>
      <c r="BC2" s="34">
        <v>14.72</v>
      </c>
      <c r="BD2" s="40">
        <v>5541.4</v>
      </c>
      <c r="BE2" s="40">
        <v>5335.4</v>
      </c>
      <c r="BF2" s="40">
        <v>6066.2</v>
      </c>
      <c r="BG2" s="27" t="s">
        <v>411</v>
      </c>
      <c r="BH2" s="24">
        <v>412</v>
      </c>
      <c r="BI2" s="25" t="s">
        <v>182</v>
      </c>
      <c r="BJ2" s="25" t="s">
        <v>284</v>
      </c>
      <c r="BK2" s="25">
        <f>57.12/4.2</f>
        <v>13.6</v>
      </c>
      <c r="BL2" s="24">
        <v>5315</v>
      </c>
      <c r="BM2" s="24">
        <v>5459</v>
      </c>
      <c r="BN2" s="81">
        <f>BK2*BH2</f>
        <v>5603.2</v>
      </c>
      <c r="BO2" s="36" t="s">
        <v>418</v>
      </c>
      <c r="BP2" s="34">
        <v>412</v>
      </c>
      <c r="BQ2" s="34" t="s">
        <v>189</v>
      </c>
      <c r="BR2" s="34">
        <v>13.92</v>
      </c>
      <c r="BS2" s="35">
        <f>71.4/4.8</f>
        <v>14.875000000000002</v>
      </c>
      <c r="BT2" s="38">
        <v>5747.4</v>
      </c>
      <c r="BU2" s="38">
        <v>5735.04</v>
      </c>
      <c r="BV2" s="38">
        <f>BS2*BP2</f>
        <v>6128.5000000000009</v>
      </c>
      <c r="BW2" s="20" t="s">
        <v>426</v>
      </c>
      <c r="BX2" s="22">
        <v>412</v>
      </c>
      <c r="BY2" s="22">
        <v>9.9499999999999993</v>
      </c>
      <c r="BZ2" s="22">
        <v>8.9499999999999993</v>
      </c>
      <c r="CA2" s="22">
        <f>75.33/5.4</f>
        <v>13.95</v>
      </c>
      <c r="CB2" s="22">
        <v>4099</v>
      </c>
      <c r="CC2" s="41">
        <v>3712.5</v>
      </c>
      <c r="CD2" s="41">
        <f>CA2*BX2</f>
        <v>5747.4</v>
      </c>
      <c r="CE2" s="36" t="s">
        <v>447</v>
      </c>
      <c r="CF2" s="34">
        <v>412</v>
      </c>
      <c r="CG2" s="34" t="s">
        <v>214</v>
      </c>
      <c r="CH2" s="34">
        <v>10.96</v>
      </c>
      <c r="CI2" s="34">
        <v>11.8</v>
      </c>
      <c r="CJ2" s="34">
        <v>4902.8</v>
      </c>
      <c r="CK2" s="34">
        <v>4515.5200000000004</v>
      </c>
      <c r="CL2" s="38">
        <f>CI2*CF2</f>
        <v>4861.6000000000004</v>
      </c>
      <c r="CM2" s="20" t="s">
        <v>438</v>
      </c>
      <c r="CN2" s="22" t="s">
        <v>42</v>
      </c>
      <c r="CO2" s="22" t="s">
        <v>213</v>
      </c>
      <c r="CP2" s="22" t="s">
        <v>270</v>
      </c>
      <c r="CQ2" s="22">
        <v>15.18</v>
      </c>
      <c r="CR2" s="22">
        <v>5747.4</v>
      </c>
      <c r="CS2" s="22">
        <v>5974</v>
      </c>
      <c r="CT2" s="22">
        <v>6254</v>
      </c>
      <c r="CU2" s="36" t="s">
        <v>97</v>
      </c>
      <c r="CV2" s="34">
        <v>412</v>
      </c>
      <c r="CW2" s="34" t="s">
        <v>201</v>
      </c>
      <c r="CX2" s="34">
        <f>DA2/CV2</f>
        <v>14</v>
      </c>
      <c r="CY2" s="34">
        <v>6571.4</v>
      </c>
      <c r="CZ2" s="116" t="s">
        <v>311</v>
      </c>
      <c r="DA2" s="117">
        <v>5768</v>
      </c>
      <c r="DB2" s="20" t="s">
        <v>117</v>
      </c>
      <c r="DC2" s="22">
        <v>412</v>
      </c>
      <c r="DD2" s="22" t="s">
        <v>218</v>
      </c>
      <c r="DE2" s="22" t="s">
        <v>275</v>
      </c>
      <c r="DF2" s="22">
        <v>11.95</v>
      </c>
      <c r="DG2" s="22">
        <v>4902.8</v>
      </c>
      <c r="DH2" s="20">
        <v>4490.8</v>
      </c>
      <c r="DI2" s="39">
        <f>412*DF2</f>
        <v>4923.3999999999996</v>
      </c>
    </row>
    <row r="3" spans="1:113" x14ac:dyDescent="0.2">
      <c r="A3" s="136" t="s">
        <v>46</v>
      </c>
      <c r="B3" s="141" t="s">
        <v>45</v>
      </c>
      <c r="C3" s="33" t="s">
        <v>44</v>
      </c>
      <c r="D3" s="36" t="s">
        <v>45</v>
      </c>
      <c r="E3" s="34" t="s">
        <v>88</v>
      </c>
      <c r="F3" s="34" t="s">
        <v>229</v>
      </c>
      <c r="G3" s="34" t="s">
        <v>319</v>
      </c>
      <c r="H3" s="40">
        <v>1074</v>
      </c>
      <c r="I3" s="40">
        <v>1074</v>
      </c>
      <c r="J3" s="40">
        <v>1134</v>
      </c>
      <c r="K3" s="20" t="s">
        <v>336</v>
      </c>
      <c r="L3" s="21" t="s">
        <v>45</v>
      </c>
      <c r="M3" s="22" t="s">
        <v>89</v>
      </c>
      <c r="N3" s="22" t="s">
        <v>236</v>
      </c>
      <c r="O3" s="22" t="s">
        <v>337</v>
      </c>
      <c r="P3" s="39">
        <v>1374</v>
      </c>
      <c r="Q3" s="39">
        <v>389.7</v>
      </c>
      <c r="R3" s="39">
        <v>1128</v>
      </c>
      <c r="S3" s="36" t="s">
        <v>352</v>
      </c>
      <c r="T3" s="34" t="s">
        <v>45</v>
      </c>
      <c r="U3" s="34" t="s">
        <v>90</v>
      </c>
      <c r="V3" s="34" t="s">
        <v>90</v>
      </c>
      <c r="W3" s="34" t="s">
        <v>353</v>
      </c>
      <c r="X3" s="38">
        <v>1194</v>
      </c>
      <c r="Y3" s="38">
        <v>1194</v>
      </c>
      <c r="Z3" s="38">
        <v>1194</v>
      </c>
      <c r="AA3" s="20" t="s">
        <v>361</v>
      </c>
      <c r="AB3" s="22" t="s">
        <v>45</v>
      </c>
      <c r="AC3" s="22" t="s">
        <v>92</v>
      </c>
      <c r="AD3" s="22" t="s">
        <v>245</v>
      </c>
      <c r="AE3" s="22">
        <v>0.59799999999999998</v>
      </c>
      <c r="AF3" s="41">
        <v>582</v>
      </c>
      <c r="AG3" s="41">
        <v>943.5</v>
      </c>
      <c r="AH3" s="41">
        <v>897</v>
      </c>
      <c r="AI3" s="36" t="s">
        <v>371</v>
      </c>
      <c r="AJ3" s="128" t="s">
        <v>45</v>
      </c>
      <c r="AK3" s="34" t="s">
        <v>374</v>
      </c>
      <c r="AL3" s="34" t="s">
        <v>255</v>
      </c>
      <c r="AM3" s="34" t="s">
        <v>373</v>
      </c>
      <c r="AN3" s="38">
        <v>1194</v>
      </c>
      <c r="AO3" s="38">
        <v>825</v>
      </c>
      <c r="AP3" s="38">
        <v>1098</v>
      </c>
      <c r="AQ3" s="20" t="s">
        <v>395</v>
      </c>
      <c r="AR3" s="112" t="s">
        <v>45</v>
      </c>
      <c r="AS3" s="22" t="s">
        <v>170</v>
      </c>
      <c r="AT3" s="22" t="s">
        <v>259</v>
      </c>
      <c r="AU3" s="22" t="s">
        <v>136</v>
      </c>
      <c r="AV3" s="41">
        <v>1074</v>
      </c>
      <c r="AW3" s="41">
        <v>945</v>
      </c>
      <c r="AX3" s="41">
        <v>573.36</v>
      </c>
      <c r="AY3" s="36" t="s">
        <v>398</v>
      </c>
      <c r="AZ3" s="126" t="s">
        <v>45</v>
      </c>
      <c r="BA3" s="34" t="s">
        <v>64</v>
      </c>
      <c r="BB3" s="34">
        <v>0.59</v>
      </c>
      <c r="BC3" s="34" t="s">
        <v>400</v>
      </c>
      <c r="BD3" s="40">
        <v>758</v>
      </c>
      <c r="BE3" s="40">
        <v>885</v>
      </c>
      <c r="BF3" s="40">
        <v>660</v>
      </c>
      <c r="BG3" s="27" t="s">
        <v>417</v>
      </c>
      <c r="BH3" s="24">
        <v>1500</v>
      </c>
      <c r="BI3" s="24" t="s">
        <v>183</v>
      </c>
      <c r="BJ3" s="24" t="s">
        <v>285</v>
      </c>
      <c r="BK3" s="26">
        <f>(191.2+471.2)/1500</f>
        <v>0.44159999999999999</v>
      </c>
      <c r="BL3" s="24">
        <v>879</v>
      </c>
      <c r="BM3" s="24">
        <v>990</v>
      </c>
      <c r="BN3" s="81">
        <f t="shared" ref="BN3:BN12" si="0">BK3*BH3</f>
        <v>662.4</v>
      </c>
      <c r="BO3" s="36" t="s">
        <v>419</v>
      </c>
      <c r="BP3" s="34">
        <v>1500</v>
      </c>
      <c r="BQ3" s="34" t="s">
        <v>190</v>
      </c>
      <c r="BR3" s="34">
        <v>0.62</v>
      </c>
      <c r="BS3" s="35">
        <f>(669+174)/1500</f>
        <v>0.56200000000000006</v>
      </c>
      <c r="BT3" s="38">
        <v>1050</v>
      </c>
      <c r="BU3" s="38">
        <v>927.09</v>
      </c>
      <c r="BV3" s="38">
        <f t="shared" ref="BV3:BV12" si="1">BS3*BP3</f>
        <v>843.00000000000011</v>
      </c>
      <c r="BW3" s="20" t="s">
        <v>473</v>
      </c>
      <c r="BX3" s="22">
        <v>1500</v>
      </c>
      <c r="BY3" s="22" t="s">
        <v>200</v>
      </c>
      <c r="BZ3" s="22">
        <v>0.36</v>
      </c>
      <c r="CA3" s="28">
        <f>599/1400</f>
        <v>0.42785714285714288</v>
      </c>
      <c r="CB3" s="22">
        <v>1047</v>
      </c>
      <c r="CC3" s="41">
        <v>539</v>
      </c>
      <c r="CD3" s="22">
        <f>1400*CA3</f>
        <v>599</v>
      </c>
      <c r="CE3" s="36" t="s">
        <v>448</v>
      </c>
      <c r="CF3" s="34">
        <v>1500</v>
      </c>
      <c r="CG3" s="34" t="s">
        <v>215</v>
      </c>
      <c r="CH3" s="34"/>
      <c r="CI3" s="35">
        <f>(108*6)/1500</f>
        <v>0.432</v>
      </c>
      <c r="CJ3" s="34">
        <v>1404.38</v>
      </c>
      <c r="CK3" s="34">
        <v>328</v>
      </c>
      <c r="CL3" s="34">
        <f t="shared" ref="CL3:CL12" si="2">CI3*CF3</f>
        <v>648</v>
      </c>
      <c r="CM3" s="20" t="s">
        <v>439</v>
      </c>
      <c r="CN3" s="22" t="s">
        <v>45</v>
      </c>
      <c r="CO3" s="22" t="s">
        <v>64</v>
      </c>
      <c r="CP3" s="22" t="s">
        <v>271</v>
      </c>
      <c r="CQ3" s="28">
        <f>CT3/1500</f>
        <v>0.60866666666666669</v>
      </c>
      <c r="CR3" s="22">
        <v>758</v>
      </c>
      <c r="CS3" s="22">
        <v>954</v>
      </c>
      <c r="CT3" s="22">
        <v>913</v>
      </c>
      <c r="CU3" s="36" t="s">
        <v>94</v>
      </c>
      <c r="CV3" s="34">
        <v>1500</v>
      </c>
      <c r="CW3" s="34" t="s">
        <v>102</v>
      </c>
      <c r="CX3" s="35">
        <f>0.32*1.3</f>
        <v>0.41600000000000004</v>
      </c>
      <c r="CY3" s="34">
        <v>399</v>
      </c>
      <c r="CZ3" s="116" t="s">
        <v>311</v>
      </c>
      <c r="DA3" s="117">
        <f>CV3*CX3</f>
        <v>624</v>
      </c>
      <c r="DB3" s="20" t="s">
        <v>433</v>
      </c>
      <c r="DC3" s="22">
        <v>1500</v>
      </c>
      <c r="DD3" s="22" t="s">
        <v>199</v>
      </c>
      <c r="DE3" s="22" t="s">
        <v>276</v>
      </c>
      <c r="DF3" s="28">
        <f>DI3/DC3</f>
        <v>0.5053333333333333</v>
      </c>
      <c r="DG3" s="22">
        <v>1112</v>
      </c>
      <c r="DH3" s="20">
        <v>663.6</v>
      </c>
      <c r="DI3" s="39">
        <f>379*2</f>
        <v>758</v>
      </c>
    </row>
    <row r="4" spans="1:113" x14ac:dyDescent="0.2">
      <c r="A4" s="136"/>
      <c r="B4" s="141"/>
      <c r="C4" s="33"/>
      <c r="D4" s="36"/>
      <c r="E4" s="34"/>
      <c r="F4" s="34"/>
      <c r="G4" s="34"/>
      <c r="H4" s="40"/>
      <c r="I4" s="40"/>
      <c r="J4" s="40"/>
      <c r="K4" s="20"/>
      <c r="L4" s="21"/>
      <c r="M4" s="22"/>
      <c r="N4" s="22"/>
      <c r="O4" s="22"/>
      <c r="P4" s="39"/>
      <c r="Q4" s="39"/>
      <c r="R4" s="39"/>
      <c r="S4" s="36"/>
      <c r="T4" s="34"/>
      <c r="U4" s="34"/>
      <c r="V4" s="34"/>
      <c r="W4" s="34"/>
      <c r="X4" s="38"/>
      <c r="Y4" s="38"/>
      <c r="Z4" s="38"/>
      <c r="AA4" s="20"/>
      <c r="AB4" s="22"/>
      <c r="AC4" s="22"/>
      <c r="AD4" s="22"/>
      <c r="AE4" s="22"/>
      <c r="AF4" s="41"/>
      <c r="AG4" s="41"/>
      <c r="AH4" s="41"/>
      <c r="AI4" s="36"/>
      <c r="AJ4" s="128"/>
      <c r="AK4" s="34"/>
      <c r="AL4" s="34"/>
      <c r="AM4" s="34"/>
      <c r="AN4" s="38"/>
      <c r="AO4" s="38"/>
      <c r="AP4" s="38"/>
      <c r="AQ4" s="20"/>
      <c r="AR4" s="112"/>
      <c r="AS4" s="22"/>
      <c r="AT4" s="22"/>
      <c r="AU4" s="22"/>
      <c r="AV4" s="41"/>
      <c r="AW4" s="41"/>
      <c r="AX4" s="41"/>
      <c r="AY4" s="36"/>
      <c r="AZ4" s="126"/>
      <c r="BA4" s="34"/>
      <c r="BB4" s="34"/>
      <c r="BC4" s="34"/>
      <c r="BD4" s="40"/>
      <c r="BE4" s="40"/>
      <c r="BF4" s="40"/>
      <c r="BG4" s="27"/>
      <c r="BH4" s="24"/>
      <c r="BI4" s="24"/>
      <c r="BJ4" s="24"/>
      <c r="BK4" s="24"/>
      <c r="BL4" s="24"/>
      <c r="BM4" s="24"/>
      <c r="BN4" s="81"/>
      <c r="BO4" s="36"/>
      <c r="BP4" s="34"/>
      <c r="BQ4" s="34"/>
      <c r="BR4" s="34"/>
      <c r="BS4" s="34"/>
      <c r="BT4" s="38"/>
      <c r="BU4" s="38"/>
      <c r="BV4" s="38"/>
      <c r="BW4" s="20"/>
      <c r="BX4" s="22"/>
      <c r="BY4" s="22"/>
      <c r="BZ4" s="22"/>
      <c r="CA4" s="22"/>
      <c r="CB4" s="22"/>
      <c r="CC4" s="41"/>
      <c r="CD4" s="22"/>
      <c r="CE4" s="36"/>
      <c r="CF4" s="34"/>
      <c r="CG4" s="34"/>
      <c r="CH4" s="34"/>
      <c r="CI4" s="34"/>
      <c r="CJ4" s="34"/>
      <c r="CK4" s="34"/>
      <c r="CL4" s="34"/>
      <c r="CM4" s="20"/>
      <c r="CN4" s="22"/>
      <c r="CO4" s="22"/>
      <c r="CP4" s="22"/>
      <c r="CQ4" s="22"/>
      <c r="CR4" s="22"/>
      <c r="CS4" s="22"/>
      <c r="CT4" s="22"/>
      <c r="CU4" s="36"/>
      <c r="CV4" s="34"/>
      <c r="CW4" s="34"/>
      <c r="CX4" s="34"/>
      <c r="CY4" s="34"/>
      <c r="CZ4" s="116"/>
      <c r="DA4" s="117"/>
      <c r="DB4" s="20"/>
      <c r="DC4" s="22"/>
      <c r="DD4" s="22"/>
      <c r="DE4" s="22"/>
      <c r="DF4" s="22"/>
      <c r="DG4" s="22"/>
      <c r="DH4" s="20"/>
      <c r="DI4" s="39"/>
    </row>
    <row r="5" spans="1:113" x14ac:dyDescent="0.2">
      <c r="A5" s="136" t="s">
        <v>485</v>
      </c>
      <c r="B5" s="141" t="s">
        <v>12</v>
      </c>
      <c r="C5" s="33" t="s">
        <v>321</v>
      </c>
      <c r="D5" s="36" t="s">
        <v>12</v>
      </c>
      <c r="E5" s="34" t="s">
        <v>2</v>
      </c>
      <c r="F5" s="34" t="s">
        <v>230</v>
      </c>
      <c r="G5" s="34" t="s">
        <v>322</v>
      </c>
      <c r="H5" s="40">
        <v>5898.12</v>
      </c>
      <c r="I5" s="40">
        <v>5949.35</v>
      </c>
      <c r="J5" s="40">
        <v>6402</v>
      </c>
      <c r="K5" s="20" t="s">
        <v>9</v>
      </c>
      <c r="L5" s="21" t="s">
        <v>12</v>
      </c>
      <c r="M5" s="22" t="s">
        <v>20</v>
      </c>
      <c r="N5" s="22" t="s">
        <v>20</v>
      </c>
      <c r="O5" s="22" t="s">
        <v>338</v>
      </c>
      <c r="P5" s="39">
        <v>4726.5</v>
      </c>
      <c r="Q5" s="39">
        <v>4726.5</v>
      </c>
      <c r="R5" s="39">
        <v>4961.1000000000004</v>
      </c>
      <c r="S5" s="36" t="s">
        <v>354</v>
      </c>
      <c r="T5" s="34" t="s">
        <v>12</v>
      </c>
      <c r="U5" s="34" t="s">
        <v>26</v>
      </c>
      <c r="V5" s="34" t="s">
        <v>26</v>
      </c>
      <c r="W5" s="34" t="s">
        <v>355</v>
      </c>
      <c r="X5" s="38">
        <v>4719.6000000000004</v>
      </c>
      <c r="Y5" s="38">
        <v>4719.6000000000004</v>
      </c>
      <c r="Z5" s="38">
        <v>4961.1000000000004</v>
      </c>
      <c r="AA5" s="20" t="s">
        <v>10</v>
      </c>
      <c r="AB5" s="22" t="s">
        <v>12</v>
      </c>
      <c r="AC5" s="22" t="s">
        <v>51</v>
      </c>
      <c r="AD5" s="22" t="s">
        <v>248</v>
      </c>
      <c r="AE5" s="22">
        <v>37.9</v>
      </c>
      <c r="AF5" s="41">
        <v>5216.3999999999996</v>
      </c>
      <c r="AG5" s="41">
        <v>4968</v>
      </c>
      <c r="AH5" s="41">
        <v>5230.2</v>
      </c>
      <c r="AI5" s="36" t="s">
        <v>375</v>
      </c>
      <c r="AJ5" s="128" t="s">
        <v>12</v>
      </c>
      <c r="AK5" s="34" t="s">
        <v>30</v>
      </c>
      <c r="AL5" s="34" t="s">
        <v>256</v>
      </c>
      <c r="AM5" s="34">
        <v>0</v>
      </c>
      <c r="AN5" s="38">
        <v>5099.1000000000004</v>
      </c>
      <c r="AO5" s="38">
        <v>5175</v>
      </c>
      <c r="AP5" s="38">
        <v>5457.9</v>
      </c>
      <c r="AQ5" s="20" t="s">
        <v>392</v>
      </c>
      <c r="AR5" s="112" t="s">
        <v>12</v>
      </c>
      <c r="AS5" s="22" t="s">
        <v>80</v>
      </c>
      <c r="AT5" s="22" t="s">
        <v>261</v>
      </c>
      <c r="AU5" s="22" t="s">
        <v>381</v>
      </c>
      <c r="AV5" s="41">
        <v>5237.1000000000004</v>
      </c>
      <c r="AW5" s="41">
        <v>5817.4</v>
      </c>
      <c r="AX5" s="41">
        <v>6072</v>
      </c>
      <c r="AY5" s="36" t="s">
        <v>401</v>
      </c>
      <c r="AZ5" s="126" t="s">
        <v>12</v>
      </c>
      <c r="BA5" s="34" t="s">
        <v>173</v>
      </c>
      <c r="BB5" s="34">
        <v>30.8</v>
      </c>
      <c r="BC5" s="34">
        <v>34.68</v>
      </c>
      <c r="BD5" s="40">
        <v>4318.0200000000004</v>
      </c>
      <c r="BE5" s="40">
        <v>4250.3999999999996</v>
      </c>
      <c r="BF5" s="40">
        <v>4785.84</v>
      </c>
      <c r="BG5" s="27" t="s">
        <v>412</v>
      </c>
      <c r="BH5" s="24">
        <v>138</v>
      </c>
      <c r="BI5" s="24" t="s">
        <v>192</v>
      </c>
      <c r="BJ5" s="24" t="s">
        <v>286</v>
      </c>
      <c r="BK5" s="24">
        <f>149.76/4.8</f>
        <v>31.2</v>
      </c>
      <c r="BL5" s="24">
        <v>4540</v>
      </c>
      <c r="BM5" s="24">
        <v>4919.7</v>
      </c>
      <c r="BN5" s="81">
        <f t="shared" si="0"/>
        <v>4305.5999999999995</v>
      </c>
      <c r="BO5" s="36" t="s">
        <v>420</v>
      </c>
      <c r="BP5" s="34">
        <v>138</v>
      </c>
      <c r="BQ5" s="34" t="s">
        <v>197</v>
      </c>
      <c r="BR5" s="34">
        <v>33.33</v>
      </c>
      <c r="BS5" s="35">
        <f>196.31/4.8</f>
        <v>40.897916666666667</v>
      </c>
      <c r="BT5" s="38">
        <v>5368.2</v>
      </c>
      <c r="BU5" s="38">
        <v>4599.54</v>
      </c>
      <c r="BV5" s="38">
        <f t="shared" si="1"/>
        <v>5643.9125000000004</v>
      </c>
      <c r="BW5" s="20" t="s">
        <v>427</v>
      </c>
      <c r="BX5" s="22">
        <v>138</v>
      </c>
      <c r="BY5" s="22" t="s">
        <v>68</v>
      </c>
      <c r="BZ5" s="22" t="s">
        <v>266</v>
      </c>
      <c r="CA5" s="28">
        <f>188.5/4.8</f>
        <v>39.270833333333336</v>
      </c>
      <c r="CB5" s="22">
        <v>5727</v>
      </c>
      <c r="CC5" s="41">
        <v>4761</v>
      </c>
      <c r="CD5" s="41">
        <f t="shared" ref="CD5:CD6" si="3">CA5*BX5</f>
        <v>5419.375</v>
      </c>
      <c r="CE5" s="36" t="s">
        <v>449</v>
      </c>
      <c r="CF5" s="34">
        <v>138</v>
      </c>
      <c r="CG5" s="34" t="s">
        <v>20</v>
      </c>
      <c r="CH5" s="34">
        <v>34.200000000000003</v>
      </c>
      <c r="CI5" s="34">
        <v>34.200000000000003</v>
      </c>
      <c r="CJ5" s="34">
        <v>4726.5</v>
      </c>
      <c r="CK5" s="34">
        <v>4719.6000000000004</v>
      </c>
      <c r="CL5" s="38">
        <f t="shared" si="2"/>
        <v>4719.6000000000004</v>
      </c>
      <c r="CM5" s="20" t="s">
        <v>440</v>
      </c>
      <c r="CN5" s="22" t="s">
        <v>12</v>
      </c>
      <c r="CO5" s="22" t="s">
        <v>205</v>
      </c>
      <c r="CP5" s="22" t="s">
        <v>272</v>
      </c>
      <c r="CQ5" s="22">
        <v>42.71</v>
      </c>
      <c r="CR5" s="22">
        <v>5651.1</v>
      </c>
      <c r="CS5" s="22">
        <v>5237.1000000000004</v>
      </c>
      <c r="CT5" s="22">
        <v>5894</v>
      </c>
      <c r="CU5" s="36" t="s">
        <v>99</v>
      </c>
      <c r="CV5" s="34">
        <v>138</v>
      </c>
      <c r="CW5" s="34" t="s">
        <v>207</v>
      </c>
      <c r="CX5" s="34">
        <f t="shared" ref="CX5:CX11" si="4">DA5/CV5</f>
        <v>30</v>
      </c>
      <c r="CY5" s="34">
        <v>4830</v>
      </c>
      <c r="CZ5" s="116" t="s">
        <v>311</v>
      </c>
      <c r="DA5" s="117">
        <v>4140</v>
      </c>
      <c r="DB5" s="20" t="s">
        <v>118</v>
      </c>
      <c r="DC5" s="22">
        <v>138</v>
      </c>
      <c r="DD5" s="22" t="s">
        <v>219</v>
      </c>
      <c r="DE5" s="22" t="s">
        <v>277</v>
      </c>
      <c r="DF5" s="22">
        <v>33.950000000000003</v>
      </c>
      <c r="DG5" s="22">
        <v>4754.1000000000004</v>
      </c>
      <c r="DH5" s="20">
        <v>4816.2</v>
      </c>
      <c r="DI5" s="39">
        <v>4685.1000000000004</v>
      </c>
    </row>
    <row r="6" spans="1:113" x14ac:dyDescent="0.2">
      <c r="A6" s="136" t="s">
        <v>121</v>
      </c>
      <c r="B6" s="141" t="s">
        <v>13</v>
      </c>
      <c r="C6" s="33" t="s">
        <v>323</v>
      </c>
      <c r="D6" s="36" t="s">
        <v>13</v>
      </c>
      <c r="E6" s="34" t="s">
        <v>36</v>
      </c>
      <c r="F6" s="34" t="s">
        <v>231</v>
      </c>
      <c r="G6" s="34" t="s">
        <v>324</v>
      </c>
      <c r="H6" s="40">
        <v>239.2</v>
      </c>
      <c r="I6" s="40">
        <v>295.2</v>
      </c>
      <c r="J6" s="40">
        <v>287.2</v>
      </c>
      <c r="K6" s="20" t="s">
        <v>14</v>
      </c>
      <c r="L6" s="21" t="s">
        <v>13</v>
      </c>
      <c r="M6" s="22" t="s">
        <v>21</v>
      </c>
      <c r="N6" s="22" t="s">
        <v>56</v>
      </c>
      <c r="O6" s="22" t="s">
        <v>339</v>
      </c>
      <c r="P6" s="39">
        <v>151.6</v>
      </c>
      <c r="Q6" s="39">
        <v>159.6</v>
      </c>
      <c r="R6" s="39">
        <v>159.6</v>
      </c>
      <c r="S6" s="36" t="s">
        <v>15</v>
      </c>
      <c r="T6" s="34" t="s">
        <v>13</v>
      </c>
      <c r="U6" s="34" t="s">
        <v>21</v>
      </c>
      <c r="V6" s="34" t="s">
        <v>21</v>
      </c>
      <c r="W6" s="34">
        <v>19.95</v>
      </c>
      <c r="X6" s="38">
        <v>151.6</v>
      </c>
      <c r="Y6" s="38">
        <v>151.6</v>
      </c>
      <c r="Z6" s="38">
        <v>159.6</v>
      </c>
      <c r="AA6" s="20" t="s">
        <v>362</v>
      </c>
      <c r="AB6" s="22" t="s">
        <v>13</v>
      </c>
      <c r="AC6" s="22" t="s">
        <v>154</v>
      </c>
      <c r="AD6" s="22" t="s">
        <v>249</v>
      </c>
      <c r="AE6" s="22">
        <v>23</v>
      </c>
      <c r="AF6" s="41">
        <v>120</v>
      </c>
      <c r="AG6" s="41">
        <v>120</v>
      </c>
      <c r="AH6" s="41">
        <v>184</v>
      </c>
      <c r="AI6" s="36" t="s">
        <v>55</v>
      </c>
      <c r="AJ6" s="128" t="s">
        <v>13</v>
      </c>
      <c r="AK6" s="34" t="s">
        <v>56</v>
      </c>
      <c r="AL6" s="34" t="s">
        <v>56</v>
      </c>
      <c r="AM6" s="34" t="s">
        <v>56</v>
      </c>
      <c r="AN6" s="38">
        <v>159.6</v>
      </c>
      <c r="AO6" s="38">
        <v>159.6</v>
      </c>
      <c r="AP6" s="38">
        <v>159.6</v>
      </c>
      <c r="AQ6" s="20" t="s">
        <v>390</v>
      </c>
      <c r="AR6" s="112" t="s">
        <v>13</v>
      </c>
      <c r="AS6" s="22" t="s">
        <v>169</v>
      </c>
      <c r="AT6" s="22" t="s">
        <v>264</v>
      </c>
      <c r="AU6" s="22" t="s">
        <v>391</v>
      </c>
      <c r="AV6" s="41">
        <v>120</v>
      </c>
      <c r="AW6" s="41">
        <v>124</v>
      </c>
      <c r="AX6" s="41">
        <v>152.9</v>
      </c>
      <c r="AY6" s="36" t="s">
        <v>93</v>
      </c>
      <c r="AZ6" s="126" t="s">
        <v>13</v>
      </c>
      <c r="BA6" s="34" t="s">
        <v>145</v>
      </c>
      <c r="BB6" s="34">
        <v>32.5</v>
      </c>
      <c r="BC6" s="34" t="s">
        <v>402</v>
      </c>
      <c r="BD6" s="40">
        <v>192</v>
      </c>
      <c r="BE6" s="40">
        <v>260</v>
      </c>
      <c r="BF6" s="40">
        <v>280</v>
      </c>
      <c r="BG6" s="27" t="s">
        <v>413</v>
      </c>
      <c r="BH6" s="24">
        <v>8</v>
      </c>
      <c r="BI6" s="24" t="s">
        <v>184</v>
      </c>
      <c r="BJ6" s="24" t="s">
        <v>171</v>
      </c>
      <c r="BK6" s="24">
        <v>28</v>
      </c>
      <c r="BL6" s="24">
        <v>152</v>
      </c>
      <c r="BM6" s="24">
        <v>104</v>
      </c>
      <c r="BN6" s="81">
        <f t="shared" si="0"/>
        <v>224</v>
      </c>
      <c r="BO6" s="36" t="s">
        <v>465</v>
      </c>
      <c r="BP6" s="34">
        <v>8</v>
      </c>
      <c r="BQ6" s="34" t="s">
        <v>191</v>
      </c>
      <c r="BR6" s="34">
        <v>17</v>
      </c>
      <c r="BS6" s="124">
        <v>29.9</v>
      </c>
      <c r="BT6" s="38">
        <v>263.2</v>
      </c>
      <c r="BU6" s="38">
        <v>136</v>
      </c>
      <c r="BV6" s="38">
        <f t="shared" si="1"/>
        <v>239.2</v>
      </c>
      <c r="BW6" s="20" t="s">
        <v>428</v>
      </c>
      <c r="BX6" s="22">
        <v>8</v>
      </c>
      <c r="BY6" s="22">
        <v>20.5</v>
      </c>
      <c r="BZ6" s="22">
        <v>23.5</v>
      </c>
      <c r="CA6" s="22">
        <v>33</v>
      </c>
      <c r="CB6" s="22">
        <v>164</v>
      </c>
      <c r="CC6" s="41">
        <v>188</v>
      </c>
      <c r="CD6" s="22">
        <f t="shared" si="3"/>
        <v>264</v>
      </c>
      <c r="CE6" s="36" t="s">
        <v>450</v>
      </c>
      <c r="CF6" s="34">
        <v>8</v>
      </c>
      <c r="CG6" s="34" t="s">
        <v>216</v>
      </c>
      <c r="CH6" s="34">
        <v>15</v>
      </c>
      <c r="CI6" s="34">
        <v>13</v>
      </c>
      <c r="CJ6" s="34">
        <v>96</v>
      </c>
      <c r="CK6" s="34">
        <v>120</v>
      </c>
      <c r="CL6" s="34">
        <f t="shared" si="2"/>
        <v>104</v>
      </c>
      <c r="CM6" s="20" t="s">
        <v>441</v>
      </c>
      <c r="CN6" s="22" t="s">
        <v>13</v>
      </c>
      <c r="CO6" s="22" t="s">
        <v>202</v>
      </c>
      <c r="CP6" s="22" t="s">
        <v>202</v>
      </c>
      <c r="CQ6" s="22">
        <v>37.5</v>
      </c>
      <c r="CR6" s="22">
        <v>160</v>
      </c>
      <c r="CS6" s="22">
        <v>160</v>
      </c>
      <c r="CT6" s="22">
        <v>300</v>
      </c>
      <c r="CU6" s="36" t="s">
        <v>95</v>
      </c>
      <c r="CV6" s="34">
        <v>8</v>
      </c>
      <c r="CW6" s="34" t="s">
        <v>137</v>
      </c>
      <c r="CX6" s="34">
        <f>15*1.3</f>
        <v>19.5</v>
      </c>
      <c r="CY6" s="34">
        <v>200</v>
      </c>
      <c r="CZ6" s="116" t="s">
        <v>311</v>
      </c>
      <c r="DA6" s="117">
        <f>CV6*CX6</f>
        <v>156</v>
      </c>
      <c r="DB6" s="20" t="s">
        <v>126</v>
      </c>
      <c r="DC6" s="22">
        <v>8</v>
      </c>
      <c r="DD6" s="22" t="s">
        <v>220</v>
      </c>
      <c r="DE6" s="22" t="s">
        <v>220</v>
      </c>
      <c r="DF6" s="22">
        <v>14.95</v>
      </c>
      <c r="DG6" s="22">
        <v>102.6</v>
      </c>
      <c r="DH6" s="20">
        <v>102.6</v>
      </c>
      <c r="DI6" s="39">
        <f>DF6*DC6</f>
        <v>119.6</v>
      </c>
    </row>
    <row r="7" spans="1:113" x14ac:dyDescent="0.2">
      <c r="A7" s="136" t="s">
        <v>158</v>
      </c>
      <c r="B7" s="141" t="s">
        <v>16</v>
      </c>
      <c r="C7" s="33" t="s">
        <v>325</v>
      </c>
      <c r="D7" s="36" t="s">
        <v>16</v>
      </c>
      <c r="E7" s="34" t="s">
        <v>35</v>
      </c>
      <c r="F7" s="34" t="s">
        <v>232</v>
      </c>
      <c r="G7" s="34" t="s">
        <v>232</v>
      </c>
      <c r="H7" s="40">
        <v>640.79999999999995</v>
      </c>
      <c r="I7" s="40">
        <v>784.8</v>
      </c>
      <c r="J7" s="40">
        <v>784.8</v>
      </c>
      <c r="K7" s="20" t="s">
        <v>17</v>
      </c>
      <c r="L7" s="21" t="s">
        <v>16</v>
      </c>
      <c r="M7" s="22" t="s">
        <v>22</v>
      </c>
      <c r="N7" s="22" t="s">
        <v>22</v>
      </c>
      <c r="O7" s="22" t="s">
        <v>340</v>
      </c>
      <c r="P7" s="39">
        <v>500.4</v>
      </c>
      <c r="Q7" s="39">
        <v>500.4</v>
      </c>
      <c r="R7" s="39">
        <v>572.4</v>
      </c>
      <c r="S7" s="36" t="s">
        <v>18</v>
      </c>
      <c r="T7" s="34" t="s">
        <v>16</v>
      </c>
      <c r="U7" s="34" t="s">
        <v>27</v>
      </c>
      <c r="V7" s="34" t="s">
        <v>27</v>
      </c>
      <c r="W7" s="34" t="s">
        <v>221</v>
      </c>
      <c r="X7" s="38">
        <v>572.4</v>
      </c>
      <c r="Y7" s="38">
        <v>572.4</v>
      </c>
      <c r="Z7" s="38">
        <v>644.4</v>
      </c>
      <c r="AA7" s="20" t="s">
        <v>363</v>
      </c>
      <c r="AB7" s="22" t="s">
        <v>16</v>
      </c>
      <c r="AC7" s="22" t="s">
        <v>50</v>
      </c>
      <c r="AD7" s="22" t="s">
        <v>250</v>
      </c>
      <c r="AE7" s="22">
        <v>8.9</v>
      </c>
      <c r="AF7" s="41">
        <v>360</v>
      </c>
      <c r="AG7" s="41">
        <v>576</v>
      </c>
      <c r="AH7" s="41">
        <v>640.79999999999995</v>
      </c>
      <c r="AI7" s="36" t="s">
        <v>57</v>
      </c>
      <c r="AJ7" s="128" t="s">
        <v>16</v>
      </c>
      <c r="AK7" s="129">
        <v>9</v>
      </c>
      <c r="AL7" s="129">
        <v>9</v>
      </c>
      <c r="AM7" s="129" t="s">
        <v>135</v>
      </c>
      <c r="AN7" s="38">
        <v>648</v>
      </c>
      <c r="AO7" s="38">
        <v>648</v>
      </c>
      <c r="AP7" s="38">
        <v>716.4</v>
      </c>
      <c r="AQ7" s="20" t="s">
        <v>388</v>
      </c>
      <c r="AR7" s="112" t="s">
        <v>16</v>
      </c>
      <c r="AS7" s="22" t="s">
        <v>179</v>
      </c>
      <c r="AT7" s="22" t="s">
        <v>265</v>
      </c>
      <c r="AU7" s="22" t="s">
        <v>389</v>
      </c>
      <c r="AV7" s="41">
        <v>720</v>
      </c>
      <c r="AW7" s="41">
        <v>612</v>
      </c>
      <c r="AX7" s="41">
        <v>356.4</v>
      </c>
      <c r="AY7" s="36" t="s">
        <v>403</v>
      </c>
      <c r="AZ7" s="126" t="s">
        <v>16</v>
      </c>
      <c r="BA7" s="34" t="s">
        <v>171</v>
      </c>
      <c r="BB7" s="34">
        <v>17.3</v>
      </c>
      <c r="BC7" s="34">
        <v>11.88</v>
      </c>
      <c r="BD7" s="40">
        <v>936</v>
      </c>
      <c r="BE7" s="40">
        <v>1245.5999999999999</v>
      </c>
      <c r="BF7" s="40">
        <v>855.36</v>
      </c>
      <c r="BG7" s="27" t="s">
        <v>414</v>
      </c>
      <c r="BH7" s="24">
        <v>72</v>
      </c>
      <c r="BI7" s="24" t="s">
        <v>179</v>
      </c>
      <c r="BJ7" s="24" t="s">
        <v>287</v>
      </c>
      <c r="BK7" s="24">
        <v>9.6</v>
      </c>
      <c r="BL7" s="24">
        <v>720</v>
      </c>
      <c r="BM7" s="24">
        <v>684</v>
      </c>
      <c r="BN7" s="81">
        <f t="shared" si="0"/>
        <v>691.19999999999993</v>
      </c>
      <c r="BO7" s="36" t="s">
        <v>421</v>
      </c>
      <c r="BP7" s="34">
        <v>72</v>
      </c>
      <c r="BQ7" s="34" t="s">
        <v>193</v>
      </c>
      <c r="BR7" s="34">
        <v>5.61</v>
      </c>
      <c r="BS7" s="34">
        <v>9.9</v>
      </c>
      <c r="BT7" s="38">
        <v>928.8</v>
      </c>
      <c r="BU7" s="38">
        <v>403.92</v>
      </c>
      <c r="BV7" s="38">
        <f t="shared" si="1"/>
        <v>712.80000000000007</v>
      </c>
      <c r="BW7" s="20" t="s">
        <v>429</v>
      </c>
      <c r="BX7" s="22">
        <v>72</v>
      </c>
      <c r="BY7" s="22">
        <v>6</v>
      </c>
      <c r="BZ7" s="22">
        <v>10.5</v>
      </c>
      <c r="CA7" s="22">
        <v>9</v>
      </c>
      <c r="CB7" s="22">
        <v>432</v>
      </c>
      <c r="CC7" s="41">
        <v>756</v>
      </c>
      <c r="CD7" s="22">
        <f>CA7*BX7</f>
        <v>648</v>
      </c>
      <c r="CE7" s="36" t="s">
        <v>451</v>
      </c>
      <c r="CF7" s="34">
        <v>72</v>
      </c>
      <c r="CG7" s="34" t="s">
        <v>76</v>
      </c>
      <c r="CH7" s="34">
        <v>11</v>
      </c>
      <c r="CI7" s="34">
        <v>8</v>
      </c>
      <c r="CJ7" s="34">
        <v>576</v>
      </c>
      <c r="CK7" s="34">
        <v>792</v>
      </c>
      <c r="CL7" s="34">
        <f t="shared" si="2"/>
        <v>576</v>
      </c>
      <c r="CM7" s="20" t="s">
        <v>442</v>
      </c>
      <c r="CN7" s="22" t="s">
        <v>16</v>
      </c>
      <c r="CO7" s="22" t="s">
        <v>206</v>
      </c>
      <c r="CP7" s="22" t="s">
        <v>273</v>
      </c>
      <c r="CQ7" s="22">
        <f>CT7/72</f>
        <v>13.5</v>
      </c>
      <c r="CR7" s="22">
        <v>648</v>
      </c>
      <c r="CS7" s="22">
        <v>655.20000000000005</v>
      </c>
      <c r="CT7" s="22">
        <v>972</v>
      </c>
      <c r="CU7" s="36" t="s">
        <v>96</v>
      </c>
      <c r="CV7" s="34">
        <v>72</v>
      </c>
      <c r="CW7" s="34" t="s">
        <v>179</v>
      </c>
      <c r="CX7" s="34">
        <f>7*1.3</f>
        <v>9.1</v>
      </c>
      <c r="CY7" s="34">
        <v>720</v>
      </c>
      <c r="CZ7" s="116" t="s">
        <v>311</v>
      </c>
      <c r="DA7" s="117">
        <f>CX7*CV7</f>
        <v>655.19999999999993</v>
      </c>
      <c r="DB7" s="20" t="s">
        <v>434</v>
      </c>
      <c r="DC7" s="22">
        <v>72</v>
      </c>
      <c r="DD7" s="22" t="s">
        <v>221</v>
      </c>
      <c r="DE7" s="22" t="s">
        <v>221</v>
      </c>
      <c r="DF7" s="22">
        <v>7.95</v>
      </c>
      <c r="DG7" s="22">
        <v>644.4</v>
      </c>
      <c r="DH7" s="20">
        <v>644.4</v>
      </c>
      <c r="DI7" s="39">
        <f>DC7*DF7</f>
        <v>572.4</v>
      </c>
    </row>
    <row r="8" spans="1:113" x14ac:dyDescent="0.2">
      <c r="A8" s="136" t="s">
        <v>122</v>
      </c>
      <c r="B8" s="141" t="s">
        <v>19</v>
      </c>
      <c r="C8" s="33" t="s">
        <v>326</v>
      </c>
      <c r="D8" s="36" t="s">
        <v>19</v>
      </c>
      <c r="E8" s="34" t="s">
        <v>34</v>
      </c>
      <c r="F8" s="34" t="s">
        <v>233</v>
      </c>
      <c r="G8" s="34" t="s">
        <v>327</v>
      </c>
      <c r="H8" s="40">
        <v>916</v>
      </c>
      <c r="I8" s="40">
        <v>676</v>
      </c>
      <c r="J8" s="40">
        <v>1156</v>
      </c>
      <c r="K8" s="20" t="s">
        <v>341</v>
      </c>
      <c r="L8" s="21" t="s">
        <v>19</v>
      </c>
      <c r="M8" s="22" t="s">
        <v>23</v>
      </c>
      <c r="N8" s="22" t="s">
        <v>238</v>
      </c>
      <c r="O8" s="22" t="s">
        <v>342</v>
      </c>
      <c r="P8" s="39">
        <v>595</v>
      </c>
      <c r="Q8" s="39">
        <v>695</v>
      </c>
      <c r="R8" s="39">
        <v>1195</v>
      </c>
      <c r="S8" s="36" t="s">
        <v>24</v>
      </c>
      <c r="T8" s="34" t="s">
        <v>19</v>
      </c>
      <c r="U8" s="34" t="s">
        <v>25</v>
      </c>
      <c r="V8" s="34" t="s">
        <v>243</v>
      </c>
      <c r="W8" s="34" t="s">
        <v>356</v>
      </c>
      <c r="X8" s="38">
        <v>716</v>
      </c>
      <c r="Y8" s="38">
        <v>596</v>
      </c>
      <c r="Z8" s="38">
        <v>996</v>
      </c>
      <c r="AA8" s="20" t="s">
        <v>467</v>
      </c>
      <c r="AB8" s="22" t="s">
        <v>19</v>
      </c>
      <c r="AC8" s="22" t="s">
        <v>28</v>
      </c>
      <c r="AD8" s="22" t="s">
        <v>246</v>
      </c>
      <c r="AE8" s="22">
        <v>0.49</v>
      </c>
      <c r="AF8" s="41">
        <v>876</v>
      </c>
      <c r="AG8" s="41" t="s">
        <v>246</v>
      </c>
      <c r="AH8" s="41">
        <v>586</v>
      </c>
      <c r="AI8" s="36" t="s">
        <v>29</v>
      </c>
      <c r="AJ8" s="128" t="s">
        <v>19</v>
      </c>
      <c r="AK8" s="34" t="s">
        <v>176</v>
      </c>
      <c r="AL8" s="34" t="s">
        <v>257</v>
      </c>
      <c r="AM8" s="34">
        <v>1.08</v>
      </c>
      <c r="AN8" s="38">
        <v>796</v>
      </c>
      <c r="AO8" s="38">
        <v>1080</v>
      </c>
      <c r="AP8" s="38">
        <v>1076</v>
      </c>
      <c r="AQ8" s="20" t="s">
        <v>386</v>
      </c>
      <c r="AR8" s="112" t="s">
        <v>19</v>
      </c>
      <c r="AS8" s="22" t="s">
        <v>32</v>
      </c>
      <c r="AT8" s="22" t="s">
        <v>263</v>
      </c>
      <c r="AU8" s="22" t="s">
        <v>387</v>
      </c>
      <c r="AV8" s="41">
        <v>836</v>
      </c>
      <c r="AW8" s="41">
        <v>584</v>
      </c>
      <c r="AX8" s="41">
        <v>496.7</v>
      </c>
      <c r="AY8" s="36" t="s">
        <v>404</v>
      </c>
      <c r="AZ8" s="126" t="s">
        <v>19</v>
      </c>
      <c r="BA8" s="34" t="s">
        <v>65</v>
      </c>
      <c r="BB8" s="34">
        <v>0.82</v>
      </c>
      <c r="BC8" s="34">
        <v>0.5</v>
      </c>
      <c r="BD8" s="40">
        <v>723.76</v>
      </c>
      <c r="BE8" s="40">
        <v>820</v>
      </c>
      <c r="BF8" s="40">
        <v>748.75</v>
      </c>
      <c r="BG8" s="27" t="s">
        <v>470</v>
      </c>
      <c r="BH8" s="24">
        <v>1000</v>
      </c>
      <c r="BI8" s="24" t="s">
        <v>185</v>
      </c>
      <c r="BJ8" s="24" t="s">
        <v>185</v>
      </c>
      <c r="BK8" s="26">
        <f>783/1300</f>
        <v>0.60230769230769232</v>
      </c>
      <c r="BL8" s="24">
        <v>596</v>
      </c>
      <c r="BM8" s="24">
        <v>596</v>
      </c>
      <c r="BN8" s="81">
        <f>BK8*1300</f>
        <v>783</v>
      </c>
      <c r="BO8" s="36" t="s">
        <v>422</v>
      </c>
      <c r="BP8" s="34">
        <v>1000</v>
      </c>
      <c r="BQ8" s="34" t="s">
        <v>194</v>
      </c>
      <c r="BR8" s="34">
        <v>0.52</v>
      </c>
      <c r="BS8" s="35">
        <f>759/1000</f>
        <v>0.75900000000000001</v>
      </c>
      <c r="BT8" s="38">
        <v>716</v>
      </c>
      <c r="BU8" s="38">
        <v>520</v>
      </c>
      <c r="BV8" s="38">
        <f t="shared" si="1"/>
        <v>759</v>
      </c>
      <c r="BW8" s="20" t="s">
        <v>475</v>
      </c>
      <c r="BX8" s="22">
        <v>1000</v>
      </c>
      <c r="BY8" s="22" t="s">
        <v>61</v>
      </c>
      <c r="BZ8" s="22" t="s">
        <v>267</v>
      </c>
      <c r="CA8" s="28">
        <f>199/400</f>
        <v>0.4975</v>
      </c>
      <c r="CB8" s="22">
        <v>676</v>
      </c>
      <c r="CC8" s="22">
        <v>559</v>
      </c>
      <c r="CD8" s="22">
        <f>CA8*1200</f>
        <v>597</v>
      </c>
      <c r="CE8" s="36" t="s">
        <v>452</v>
      </c>
      <c r="CF8" s="34">
        <v>1000</v>
      </c>
      <c r="CG8" s="34" t="s">
        <v>217</v>
      </c>
      <c r="CH8" s="34">
        <v>389</v>
      </c>
      <c r="CI8" s="34">
        <f>(4*145)/1000</f>
        <v>0.57999999999999996</v>
      </c>
      <c r="CJ8" s="34">
        <v>516</v>
      </c>
      <c r="CK8" s="34">
        <v>389</v>
      </c>
      <c r="CL8" s="34">
        <f t="shared" si="2"/>
        <v>580</v>
      </c>
      <c r="CM8" s="20" t="s">
        <v>443</v>
      </c>
      <c r="CN8" s="22" t="s">
        <v>19</v>
      </c>
      <c r="CO8" s="22" t="s">
        <v>73</v>
      </c>
      <c r="CP8" s="22" t="s">
        <v>73</v>
      </c>
      <c r="CQ8" s="28">
        <f>CT8/1000</f>
        <v>0.79600000000000004</v>
      </c>
      <c r="CR8" s="22">
        <v>596</v>
      </c>
      <c r="CS8" s="22">
        <v>596</v>
      </c>
      <c r="CT8" s="22">
        <v>796</v>
      </c>
      <c r="CU8" s="36" t="s">
        <v>98</v>
      </c>
      <c r="CV8" s="34">
        <v>1000</v>
      </c>
      <c r="CW8" s="34" t="s">
        <v>208</v>
      </c>
      <c r="CX8" s="34">
        <f>0.33*1.3</f>
        <v>0.42900000000000005</v>
      </c>
      <c r="CY8" s="34">
        <v>500</v>
      </c>
      <c r="CZ8" s="116" t="s">
        <v>311</v>
      </c>
      <c r="DA8" s="117">
        <f>CX8*CV8</f>
        <v>429.00000000000006</v>
      </c>
      <c r="DB8" s="20" t="s">
        <v>435</v>
      </c>
      <c r="DC8" s="22">
        <v>1000</v>
      </c>
      <c r="DD8" s="22" t="s">
        <v>183</v>
      </c>
      <c r="DE8" s="22" t="s">
        <v>278</v>
      </c>
      <c r="DF8" s="22">
        <f>DI8/DC8</f>
        <v>0.57999999999999996</v>
      </c>
      <c r="DG8" s="22">
        <v>436</v>
      </c>
      <c r="DH8" s="20">
        <v>556</v>
      </c>
      <c r="DI8" s="39">
        <f>145*4</f>
        <v>580</v>
      </c>
    </row>
    <row r="9" spans="1:113" x14ac:dyDescent="0.2">
      <c r="A9" s="136"/>
      <c r="B9" s="141"/>
      <c r="C9" s="33"/>
      <c r="D9" s="36"/>
      <c r="E9" s="34"/>
      <c r="F9" s="34"/>
      <c r="G9" s="34"/>
      <c r="H9" s="40"/>
      <c r="I9" s="40"/>
      <c r="J9" s="40"/>
      <c r="K9" s="20"/>
      <c r="L9" s="21"/>
      <c r="M9" s="22"/>
      <c r="N9" s="22"/>
      <c r="O9" s="22"/>
      <c r="P9" s="39"/>
      <c r="Q9" s="39"/>
      <c r="R9" s="39"/>
      <c r="S9" s="36"/>
      <c r="T9" s="34"/>
      <c r="U9" s="34"/>
      <c r="V9" s="34"/>
      <c r="W9" s="34"/>
      <c r="X9" s="38"/>
      <c r="Y9" s="38"/>
      <c r="Z9" s="38"/>
      <c r="AA9" s="20"/>
      <c r="AB9" s="22"/>
      <c r="AC9" s="22"/>
      <c r="AD9" s="22"/>
      <c r="AE9" s="22"/>
      <c r="AF9" s="41"/>
      <c r="AG9" s="41"/>
      <c r="AH9" s="41"/>
      <c r="AI9" s="36"/>
      <c r="AJ9" s="128"/>
      <c r="AK9" s="34"/>
      <c r="AL9" s="34"/>
      <c r="AM9" s="34"/>
      <c r="AN9" s="38"/>
      <c r="AO9" s="38"/>
      <c r="AP9" s="38"/>
      <c r="AQ9" s="20"/>
      <c r="AR9" s="112"/>
      <c r="AS9" s="22"/>
      <c r="AT9" s="22"/>
      <c r="AU9" s="22"/>
      <c r="AV9" s="41"/>
      <c r="AW9" s="41"/>
      <c r="AX9" s="41"/>
      <c r="AY9" s="36"/>
      <c r="AZ9" s="126"/>
      <c r="BA9" s="34"/>
      <c r="BB9" s="34"/>
      <c r="BC9" s="34"/>
      <c r="BD9" s="40"/>
      <c r="BE9" s="40"/>
      <c r="BF9" s="40"/>
      <c r="BG9" s="27"/>
      <c r="BH9" s="24"/>
      <c r="BI9" s="24"/>
      <c r="BJ9" s="24"/>
      <c r="BK9" s="24"/>
      <c r="BL9" s="24"/>
      <c r="BM9" s="24"/>
      <c r="BN9" s="81"/>
      <c r="BO9" s="36"/>
      <c r="BP9" s="34"/>
      <c r="BQ9" s="34"/>
      <c r="BR9" s="34"/>
      <c r="BS9" s="34"/>
      <c r="BT9" s="38"/>
      <c r="BU9" s="38"/>
      <c r="BV9" s="38"/>
      <c r="BW9" s="20"/>
      <c r="BX9" s="22"/>
      <c r="BY9" s="22"/>
      <c r="BZ9" s="22"/>
      <c r="CA9" s="22"/>
      <c r="CB9" s="22"/>
      <c r="CC9" s="22"/>
      <c r="CD9" s="22"/>
      <c r="CE9" s="36"/>
      <c r="CF9" s="34"/>
      <c r="CG9" s="34"/>
      <c r="CH9" s="34"/>
      <c r="CI9" s="34"/>
      <c r="CJ9" s="34"/>
      <c r="CK9" s="34"/>
      <c r="CL9" s="34"/>
      <c r="CM9" s="20"/>
      <c r="CN9" s="22"/>
      <c r="CO9" s="22"/>
      <c r="CP9" s="22"/>
      <c r="CQ9" s="22"/>
      <c r="CR9" s="22"/>
      <c r="CS9" s="22"/>
      <c r="CT9" s="22"/>
      <c r="CU9" s="36"/>
      <c r="CV9" s="34"/>
      <c r="CW9" s="34"/>
      <c r="CX9" s="34"/>
      <c r="CY9" s="34"/>
      <c r="CZ9" s="116"/>
      <c r="DA9" s="117"/>
      <c r="DB9" s="20"/>
      <c r="DC9" s="22"/>
      <c r="DD9" s="22"/>
      <c r="DE9" s="22"/>
      <c r="DF9" s="22"/>
      <c r="DG9" s="22"/>
      <c r="DH9" s="20"/>
      <c r="DI9" s="39"/>
    </row>
    <row r="10" spans="1:113" x14ac:dyDescent="0.2">
      <c r="A10" s="136" t="s">
        <v>31</v>
      </c>
      <c r="B10" s="141" t="s">
        <v>33</v>
      </c>
      <c r="C10" s="33" t="s">
        <v>329</v>
      </c>
      <c r="D10" s="36" t="s">
        <v>33</v>
      </c>
      <c r="E10" s="34" t="s">
        <v>143</v>
      </c>
      <c r="F10" s="34" t="s">
        <v>281</v>
      </c>
      <c r="G10" s="34" t="s">
        <v>328</v>
      </c>
      <c r="H10" s="40">
        <v>1602</v>
      </c>
      <c r="I10" s="40">
        <v>2322</v>
      </c>
      <c r="J10" s="40">
        <v>2682</v>
      </c>
      <c r="K10" s="20" t="s">
        <v>344</v>
      </c>
      <c r="L10" s="21" t="s">
        <v>33</v>
      </c>
      <c r="M10" s="22" t="s">
        <v>130</v>
      </c>
      <c r="N10" s="22" t="s">
        <v>237</v>
      </c>
      <c r="O10" s="22" t="s">
        <v>343</v>
      </c>
      <c r="P10" s="39">
        <v>1080</v>
      </c>
      <c r="Q10" s="39">
        <v>1241.0999999999999</v>
      </c>
      <c r="R10" s="39">
        <v>1221.3</v>
      </c>
      <c r="S10" s="36" t="s">
        <v>241</v>
      </c>
      <c r="T10" s="34" t="s">
        <v>33</v>
      </c>
      <c r="U10" s="34" t="s">
        <v>49</v>
      </c>
      <c r="V10" s="34" t="s">
        <v>242</v>
      </c>
      <c r="W10" s="34">
        <v>88.95</v>
      </c>
      <c r="X10" s="38">
        <v>1709.1</v>
      </c>
      <c r="Y10" s="38">
        <v>1782</v>
      </c>
      <c r="Z10" s="38">
        <v>1601.1</v>
      </c>
      <c r="AA10" s="20" t="s">
        <v>139</v>
      </c>
      <c r="AB10" s="22" t="s">
        <v>33</v>
      </c>
      <c r="AC10" s="22" t="s">
        <v>155</v>
      </c>
      <c r="AD10" s="22" t="s">
        <v>251</v>
      </c>
      <c r="AE10" s="22">
        <v>92</v>
      </c>
      <c r="AF10" s="41">
        <v>1530</v>
      </c>
      <c r="AG10" s="41">
        <v>1687.5</v>
      </c>
      <c r="AH10" s="41">
        <v>1656</v>
      </c>
      <c r="AI10" s="36" t="s">
        <v>41</v>
      </c>
      <c r="AJ10" s="128" t="s">
        <v>33</v>
      </c>
      <c r="AK10" s="34" t="s">
        <v>177</v>
      </c>
      <c r="AL10" s="34" t="s">
        <v>258</v>
      </c>
      <c r="AM10" s="34" t="s">
        <v>258</v>
      </c>
      <c r="AN10" s="38">
        <v>1602</v>
      </c>
      <c r="AO10" s="38">
        <v>1962</v>
      </c>
      <c r="AP10" s="38">
        <v>1962</v>
      </c>
      <c r="AQ10" s="20" t="s">
        <v>382</v>
      </c>
      <c r="AR10" s="112" t="s">
        <v>33</v>
      </c>
      <c r="AS10" s="22" t="s">
        <v>140</v>
      </c>
      <c r="AT10" s="22">
        <v>109</v>
      </c>
      <c r="AU10" s="22">
        <v>123.3</v>
      </c>
      <c r="AV10" s="41">
        <v>2502</v>
      </c>
      <c r="AW10" s="41">
        <v>1962</v>
      </c>
      <c r="AX10" s="41">
        <v>2219.4</v>
      </c>
      <c r="AY10" s="36" t="s">
        <v>406</v>
      </c>
      <c r="AZ10" s="126" t="s">
        <v>33</v>
      </c>
      <c r="BA10" s="34" t="s">
        <v>172</v>
      </c>
      <c r="BB10" s="34">
        <v>98.75</v>
      </c>
      <c r="BC10" s="34" t="s">
        <v>408</v>
      </c>
      <c r="BD10" s="40">
        <v>1811.34</v>
      </c>
      <c r="BE10" s="40">
        <v>1777.5</v>
      </c>
      <c r="BF10" s="40">
        <v>1782</v>
      </c>
      <c r="BG10" s="27" t="s">
        <v>415</v>
      </c>
      <c r="BH10" s="24">
        <v>18</v>
      </c>
      <c r="BI10" s="24" t="s">
        <v>177</v>
      </c>
      <c r="BJ10" s="24" t="s">
        <v>288</v>
      </c>
      <c r="BK10" s="24">
        <v>71.2</v>
      </c>
      <c r="BL10" s="24">
        <v>1602</v>
      </c>
      <c r="BM10" s="24">
        <v>2322</v>
      </c>
      <c r="BN10" s="81">
        <f t="shared" si="0"/>
        <v>1281.6000000000001</v>
      </c>
      <c r="BO10" s="36" t="s">
        <v>423</v>
      </c>
      <c r="BP10" s="34">
        <v>18</v>
      </c>
      <c r="BQ10" s="34" t="s">
        <v>195</v>
      </c>
      <c r="BR10" s="34">
        <v>73.459999999999994</v>
      </c>
      <c r="BS10" s="34">
        <v>89.9</v>
      </c>
      <c r="BT10" s="38">
        <v>1078.2</v>
      </c>
      <c r="BU10" s="38">
        <v>1322.28</v>
      </c>
      <c r="BV10" s="38">
        <f t="shared" si="1"/>
        <v>1618.2</v>
      </c>
      <c r="BW10" s="20" t="s">
        <v>430</v>
      </c>
      <c r="BX10" s="22">
        <v>18</v>
      </c>
      <c r="BY10" s="22" t="s">
        <v>70</v>
      </c>
      <c r="BZ10" s="22" t="s">
        <v>268</v>
      </c>
      <c r="CA10" s="22">
        <v>89</v>
      </c>
      <c r="CB10" s="22">
        <v>1611</v>
      </c>
      <c r="CC10" s="22">
        <v>2160</v>
      </c>
      <c r="CD10" s="22">
        <f t="shared" ref="CD10:CD11" si="5">CA10*BX10</f>
        <v>1602</v>
      </c>
      <c r="CE10" s="36" t="s">
        <v>453</v>
      </c>
      <c r="CF10" s="34">
        <v>18</v>
      </c>
      <c r="CG10" s="34" t="s">
        <v>77</v>
      </c>
      <c r="CH10" s="34" t="s">
        <v>307</v>
      </c>
      <c r="CI10" s="34">
        <v>89</v>
      </c>
      <c r="CJ10" s="34">
        <v>1476</v>
      </c>
      <c r="CK10" s="34">
        <v>1530</v>
      </c>
      <c r="CL10" s="34">
        <f t="shared" si="2"/>
        <v>1602</v>
      </c>
      <c r="CM10" s="20" t="s">
        <v>444</v>
      </c>
      <c r="CN10" s="22" t="s">
        <v>33</v>
      </c>
      <c r="CO10" s="22" t="s">
        <v>212</v>
      </c>
      <c r="CP10" s="22"/>
      <c r="CQ10" s="22">
        <v>115.21</v>
      </c>
      <c r="CR10" s="22">
        <v>2142</v>
      </c>
      <c r="CS10" s="22"/>
      <c r="CT10" s="22">
        <v>2074</v>
      </c>
      <c r="CU10" s="36" t="s">
        <v>101</v>
      </c>
      <c r="CV10" s="34">
        <v>18</v>
      </c>
      <c r="CW10" s="34" t="s">
        <v>209</v>
      </c>
      <c r="CX10" s="34">
        <f>80*1.1</f>
        <v>88</v>
      </c>
      <c r="CY10" s="34">
        <v>4122</v>
      </c>
      <c r="CZ10" s="116" t="s">
        <v>311</v>
      </c>
      <c r="DA10" s="117">
        <f>CV10*CX10</f>
        <v>1584</v>
      </c>
      <c r="DB10" s="20" t="s">
        <v>436</v>
      </c>
      <c r="DC10" s="22">
        <v>18</v>
      </c>
      <c r="DD10" s="22" t="s">
        <v>222</v>
      </c>
      <c r="DE10" s="22" t="s">
        <v>279</v>
      </c>
      <c r="DF10" s="22">
        <v>89.95</v>
      </c>
      <c r="DG10" s="22">
        <v>1349.1</v>
      </c>
      <c r="DH10" s="20">
        <v>1348.2</v>
      </c>
      <c r="DI10" s="39">
        <f>DC10*DF10</f>
        <v>1619.1000000000001</v>
      </c>
    </row>
    <row r="11" spans="1:113" x14ac:dyDescent="0.2">
      <c r="A11" s="136" t="s">
        <v>123</v>
      </c>
      <c r="B11" s="141" t="s">
        <v>33</v>
      </c>
      <c r="C11" s="33" t="s">
        <v>330</v>
      </c>
      <c r="D11" s="36" t="s">
        <v>33</v>
      </c>
      <c r="E11" s="34" t="s">
        <v>142</v>
      </c>
      <c r="F11" s="34" t="s">
        <v>331</v>
      </c>
      <c r="G11" s="34" t="s">
        <v>332</v>
      </c>
      <c r="H11" s="40">
        <v>684</v>
      </c>
      <c r="I11" s="40">
        <v>898.2</v>
      </c>
      <c r="J11" s="40">
        <v>898.2</v>
      </c>
      <c r="K11" s="20" t="s">
        <v>345</v>
      </c>
      <c r="L11" s="21" t="s">
        <v>33</v>
      </c>
      <c r="M11" s="22" t="s">
        <v>348</v>
      </c>
      <c r="N11" s="22" t="s">
        <v>349</v>
      </c>
      <c r="O11" s="22" t="s">
        <v>347</v>
      </c>
      <c r="P11" s="39">
        <v>809.1</v>
      </c>
      <c r="Q11" s="39">
        <v>695</v>
      </c>
      <c r="R11" s="39">
        <v>539.1</v>
      </c>
      <c r="S11" s="36" t="s">
        <v>37</v>
      </c>
      <c r="T11" s="34" t="s">
        <v>33</v>
      </c>
      <c r="U11" s="34" t="s">
        <v>144</v>
      </c>
      <c r="V11" s="34" t="s">
        <v>144</v>
      </c>
      <c r="W11" s="34" t="s">
        <v>144</v>
      </c>
      <c r="X11" s="38">
        <v>540</v>
      </c>
      <c r="Y11" s="38">
        <v>540</v>
      </c>
      <c r="Z11" s="38">
        <v>540</v>
      </c>
      <c r="AA11" s="20" t="s">
        <v>52</v>
      </c>
      <c r="AB11" s="22" t="s">
        <v>33</v>
      </c>
      <c r="AC11" s="22" t="s">
        <v>156</v>
      </c>
      <c r="AD11" s="22" t="s">
        <v>156</v>
      </c>
      <c r="AE11" s="22">
        <v>38.1</v>
      </c>
      <c r="AF11" s="41">
        <v>630</v>
      </c>
      <c r="AG11" s="41">
        <v>630</v>
      </c>
      <c r="AH11" s="41">
        <v>685.8</v>
      </c>
      <c r="AI11" s="36" t="s">
        <v>38</v>
      </c>
      <c r="AJ11" s="128" t="s">
        <v>33</v>
      </c>
      <c r="AK11" s="34" t="s">
        <v>145</v>
      </c>
      <c r="AL11" s="34" t="s">
        <v>252</v>
      </c>
      <c r="AM11" s="34" t="s">
        <v>376</v>
      </c>
      <c r="AN11" s="38">
        <v>432</v>
      </c>
      <c r="AO11" s="38">
        <v>702</v>
      </c>
      <c r="AP11" s="38">
        <v>827.1</v>
      </c>
      <c r="AQ11" s="20" t="s">
        <v>383</v>
      </c>
      <c r="AR11" s="112" t="s">
        <v>33</v>
      </c>
      <c r="AS11" s="22" t="s">
        <v>53</v>
      </c>
      <c r="AT11" s="22"/>
      <c r="AU11" s="22">
        <v>44.46</v>
      </c>
      <c r="AV11" s="41" t="s">
        <v>53</v>
      </c>
      <c r="AW11" s="41" t="s">
        <v>53</v>
      </c>
      <c r="AX11" s="41">
        <v>800.33</v>
      </c>
      <c r="AY11" s="36" t="s">
        <v>407</v>
      </c>
      <c r="AZ11" s="126" t="s">
        <v>33</v>
      </c>
      <c r="BA11" s="34" t="s">
        <v>174</v>
      </c>
      <c r="BB11" s="34">
        <v>30</v>
      </c>
      <c r="BC11" s="34" t="s">
        <v>144</v>
      </c>
      <c r="BD11" s="40">
        <v>584.1</v>
      </c>
      <c r="BE11" s="40">
        <v>540</v>
      </c>
      <c r="BF11" s="40">
        <v>540</v>
      </c>
      <c r="BG11" s="27" t="s">
        <v>103</v>
      </c>
      <c r="BH11" s="24">
        <v>18</v>
      </c>
      <c r="BI11" s="24" t="s">
        <v>186</v>
      </c>
      <c r="BJ11" s="24" t="s">
        <v>289</v>
      </c>
      <c r="BK11" s="24">
        <v>31.2</v>
      </c>
      <c r="BL11" s="24">
        <v>702</v>
      </c>
      <c r="BM11" s="24">
        <v>882</v>
      </c>
      <c r="BN11" s="81">
        <f t="shared" si="0"/>
        <v>561.6</v>
      </c>
      <c r="BO11" s="36" t="s">
        <v>424</v>
      </c>
      <c r="BP11" s="34">
        <v>18</v>
      </c>
      <c r="BQ11" s="34" t="s">
        <v>196</v>
      </c>
      <c r="BR11" s="34">
        <v>80.63</v>
      </c>
      <c r="BS11" s="34">
        <v>41.9</v>
      </c>
      <c r="BT11" s="38">
        <v>718.2</v>
      </c>
      <c r="BU11" s="38">
        <v>1451.34</v>
      </c>
      <c r="BV11" s="38">
        <f t="shared" si="1"/>
        <v>754.19999999999993</v>
      </c>
      <c r="BW11" s="20" t="s">
        <v>431</v>
      </c>
      <c r="BX11" s="22">
        <v>18</v>
      </c>
      <c r="BY11" s="22" t="s">
        <v>69</v>
      </c>
      <c r="BZ11" s="22" t="s">
        <v>69</v>
      </c>
      <c r="CA11" s="22">
        <v>33.5</v>
      </c>
      <c r="CB11" s="22">
        <v>603</v>
      </c>
      <c r="CC11" s="22">
        <v>603</v>
      </c>
      <c r="CD11" s="22">
        <f t="shared" si="5"/>
        <v>603</v>
      </c>
      <c r="CE11" s="36" t="s">
        <v>454</v>
      </c>
      <c r="CF11" s="34">
        <v>18</v>
      </c>
      <c r="CG11" s="34" t="s">
        <v>78</v>
      </c>
      <c r="CH11" s="34"/>
      <c r="CI11" s="34">
        <v>30</v>
      </c>
      <c r="CJ11" s="34">
        <v>468</v>
      </c>
      <c r="CK11" s="34"/>
      <c r="CL11" s="34">
        <f t="shared" si="2"/>
        <v>540</v>
      </c>
      <c r="CM11" s="20" t="s">
        <v>445</v>
      </c>
      <c r="CN11" s="22" t="s">
        <v>33</v>
      </c>
      <c r="CO11" s="22" t="s">
        <v>211</v>
      </c>
      <c r="CP11" s="22" t="s">
        <v>280</v>
      </c>
      <c r="CQ11" s="22">
        <v>34</v>
      </c>
      <c r="CR11" s="22">
        <v>810</v>
      </c>
      <c r="CS11" s="22">
        <v>684</v>
      </c>
      <c r="CT11" s="22">
        <v>612</v>
      </c>
      <c r="CU11" s="36" t="s">
        <v>123</v>
      </c>
      <c r="CV11" s="34">
        <v>18</v>
      </c>
      <c r="CW11" s="34"/>
      <c r="CX11" s="34">
        <f t="shared" si="4"/>
        <v>30</v>
      </c>
      <c r="CY11" s="34"/>
      <c r="CZ11" s="116"/>
      <c r="DA11" s="117">
        <v>540</v>
      </c>
      <c r="DB11" s="20" t="s">
        <v>437</v>
      </c>
      <c r="DC11" s="22">
        <v>18</v>
      </c>
      <c r="DD11" s="22"/>
      <c r="DE11" s="22"/>
      <c r="DF11" s="22">
        <v>29.95</v>
      </c>
      <c r="DG11" s="22"/>
      <c r="DH11" s="20"/>
      <c r="DI11" s="39">
        <f>DC11*DF11</f>
        <v>539.1</v>
      </c>
    </row>
    <row r="12" spans="1:113" x14ac:dyDescent="0.2">
      <c r="A12" s="136" t="s">
        <v>159</v>
      </c>
      <c r="B12" s="141" t="s">
        <v>39</v>
      </c>
      <c r="C12" s="33" t="s">
        <v>333</v>
      </c>
      <c r="D12" s="36" t="s">
        <v>39</v>
      </c>
      <c r="E12" s="34" t="s">
        <v>40</v>
      </c>
      <c r="F12" s="34" t="s">
        <v>234</v>
      </c>
      <c r="G12" s="34" t="s">
        <v>334</v>
      </c>
      <c r="H12" s="40">
        <v>578</v>
      </c>
      <c r="I12" s="40">
        <v>249</v>
      </c>
      <c r="J12" s="40">
        <v>658</v>
      </c>
      <c r="K12" s="20" t="s">
        <v>54</v>
      </c>
      <c r="L12" s="21" t="s">
        <v>39</v>
      </c>
      <c r="M12" s="22" t="s">
        <v>47</v>
      </c>
      <c r="N12" s="22" t="s">
        <v>239</v>
      </c>
      <c r="O12" s="22" t="s">
        <v>346</v>
      </c>
      <c r="P12" s="39">
        <v>183</v>
      </c>
      <c r="Q12" s="39">
        <v>89</v>
      </c>
      <c r="R12" s="39">
        <v>89.95</v>
      </c>
      <c r="S12" s="36" t="s">
        <v>357</v>
      </c>
      <c r="T12" s="34" t="s">
        <v>39</v>
      </c>
      <c r="U12" s="34" t="s">
        <v>48</v>
      </c>
      <c r="V12" s="34" t="s">
        <v>240</v>
      </c>
      <c r="W12" s="34">
        <v>2.98</v>
      </c>
      <c r="X12" s="38">
        <v>1123.75</v>
      </c>
      <c r="Y12" s="38">
        <v>278</v>
      </c>
      <c r="Z12" s="38">
        <v>298</v>
      </c>
      <c r="AA12" s="20" t="s">
        <v>364</v>
      </c>
      <c r="AB12" s="22" t="s">
        <v>39</v>
      </c>
      <c r="AC12" s="22" t="s">
        <v>53</v>
      </c>
      <c r="AD12" s="22"/>
      <c r="AE12" s="22" t="s">
        <v>365</v>
      </c>
      <c r="AF12" s="41" t="s">
        <v>53</v>
      </c>
      <c r="AG12" s="41"/>
      <c r="AH12" s="41">
        <v>289</v>
      </c>
      <c r="AI12" s="36" t="s">
        <v>167</v>
      </c>
      <c r="AJ12" s="128" t="s">
        <v>39</v>
      </c>
      <c r="AK12" s="34" t="s">
        <v>58</v>
      </c>
      <c r="AL12" s="34" t="s">
        <v>253</v>
      </c>
      <c r="AM12" s="34" t="s">
        <v>377</v>
      </c>
      <c r="AN12" s="38">
        <v>110</v>
      </c>
      <c r="AO12" s="38">
        <v>179</v>
      </c>
      <c r="AP12" s="38">
        <v>179</v>
      </c>
      <c r="AQ12" s="20" t="s">
        <v>384</v>
      </c>
      <c r="AR12" s="112" t="s">
        <v>39</v>
      </c>
      <c r="AS12" s="22" t="s">
        <v>168</v>
      </c>
      <c r="AT12" s="22" t="s">
        <v>262</v>
      </c>
      <c r="AU12" s="22" t="s">
        <v>385</v>
      </c>
      <c r="AV12" s="41">
        <v>247</v>
      </c>
      <c r="AW12" s="41">
        <v>164</v>
      </c>
      <c r="AX12" s="41">
        <v>186.28</v>
      </c>
      <c r="AY12" s="36" t="s">
        <v>66</v>
      </c>
      <c r="AZ12" s="126" t="s">
        <v>39</v>
      </c>
      <c r="BA12" s="34" t="s">
        <v>67</v>
      </c>
      <c r="BB12" s="34" t="s">
        <v>385</v>
      </c>
      <c r="BC12" s="34" t="s">
        <v>409</v>
      </c>
      <c r="BD12" s="40">
        <v>230.11</v>
      </c>
      <c r="BE12" s="40">
        <v>186.25</v>
      </c>
      <c r="BF12" s="40">
        <v>248.75</v>
      </c>
      <c r="BG12" s="27" t="s">
        <v>416</v>
      </c>
      <c r="BH12" s="24">
        <v>100</v>
      </c>
      <c r="BI12" s="24" t="s">
        <v>187</v>
      </c>
      <c r="BJ12" s="24" t="s">
        <v>290</v>
      </c>
      <c r="BK12" s="24">
        <f>303.2/100</f>
        <v>3.032</v>
      </c>
      <c r="BL12" s="24">
        <v>309</v>
      </c>
      <c r="BM12" s="24">
        <v>159</v>
      </c>
      <c r="BN12" s="81">
        <f t="shared" si="0"/>
        <v>303.2</v>
      </c>
      <c r="BO12" s="36" t="s">
        <v>425</v>
      </c>
      <c r="BP12" s="34">
        <v>100</v>
      </c>
      <c r="BQ12" s="34" t="s">
        <v>198</v>
      </c>
      <c r="BR12" s="34">
        <v>1.21</v>
      </c>
      <c r="BS12" s="34">
        <f>358/100</f>
        <v>3.58</v>
      </c>
      <c r="BT12" s="38">
        <v>278</v>
      </c>
      <c r="BU12" s="38">
        <v>120.68</v>
      </c>
      <c r="BV12" s="38">
        <f t="shared" si="1"/>
        <v>358</v>
      </c>
      <c r="BW12" s="20" t="s">
        <v>432</v>
      </c>
      <c r="BX12" s="22">
        <v>100</v>
      </c>
      <c r="BY12" s="22" t="s">
        <v>62</v>
      </c>
      <c r="BZ12" s="22" t="s">
        <v>269</v>
      </c>
      <c r="CA12" s="22">
        <f>349/100</f>
        <v>3.49</v>
      </c>
      <c r="CB12" s="22">
        <v>199</v>
      </c>
      <c r="CC12" s="22">
        <v>229</v>
      </c>
      <c r="CD12" s="22">
        <f>CA12*BX12</f>
        <v>349</v>
      </c>
      <c r="CE12" s="36" t="s">
        <v>455</v>
      </c>
      <c r="CF12" s="34">
        <v>100</v>
      </c>
      <c r="CG12" s="34" t="s">
        <v>147</v>
      </c>
      <c r="CH12" s="34"/>
      <c r="CI12" s="34">
        <f>263/100</f>
        <v>2.63</v>
      </c>
      <c r="CJ12" s="34" t="s">
        <v>79</v>
      </c>
      <c r="CK12" s="34"/>
      <c r="CL12" s="34">
        <f t="shared" si="2"/>
        <v>263</v>
      </c>
      <c r="CM12" s="20" t="s">
        <v>446</v>
      </c>
      <c r="CN12" s="22" t="s">
        <v>39</v>
      </c>
      <c r="CO12" s="22" t="s">
        <v>75</v>
      </c>
      <c r="CP12" s="22" t="s">
        <v>274</v>
      </c>
      <c r="CQ12" s="22">
        <f>CT12/100</f>
        <v>4.78</v>
      </c>
      <c r="CR12" s="22">
        <v>289.5</v>
      </c>
      <c r="CS12" s="22">
        <v>422</v>
      </c>
      <c r="CT12" s="22">
        <f>239*2</f>
        <v>478</v>
      </c>
      <c r="CU12" s="36" t="s">
        <v>100</v>
      </c>
      <c r="CV12" s="34">
        <v>100</v>
      </c>
      <c r="CW12" s="34" t="s">
        <v>210</v>
      </c>
      <c r="CX12" s="34">
        <f>1.22*1.3</f>
        <v>1.5860000000000001</v>
      </c>
      <c r="CY12" s="34">
        <v>438</v>
      </c>
      <c r="CZ12" s="116" t="s">
        <v>311</v>
      </c>
      <c r="DA12" s="117">
        <f>CV12*CX12</f>
        <v>158.6</v>
      </c>
      <c r="DB12" s="20" t="s">
        <v>127</v>
      </c>
      <c r="DC12" s="22">
        <v>100</v>
      </c>
      <c r="DD12" s="22" t="s">
        <v>223</v>
      </c>
      <c r="DE12" s="22" t="s">
        <v>223</v>
      </c>
      <c r="DF12" s="28">
        <f>DI12/DC12</f>
        <v>2.4493</v>
      </c>
      <c r="DG12" s="22">
        <v>233.27</v>
      </c>
      <c r="DH12" s="20">
        <v>233.27</v>
      </c>
      <c r="DI12" s="39">
        <f>34.99*7</f>
        <v>244.93</v>
      </c>
    </row>
    <row r="13" spans="1:113" x14ac:dyDescent="0.2">
      <c r="A13" s="136"/>
      <c r="B13" s="141"/>
      <c r="C13" s="33" t="s">
        <v>227</v>
      </c>
      <c r="D13" s="36"/>
      <c r="E13" s="36"/>
      <c r="F13" s="36"/>
      <c r="G13" s="36"/>
      <c r="H13" s="40"/>
      <c r="I13" s="40"/>
      <c r="J13" s="40"/>
      <c r="K13" s="20"/>
      <c r="L13" s="20"/>
      <c r="M13" s="20"/>
      <c r="N13" s="20"/>
      <c r="O13" s="20"/>
      <c r="P13" s="39"/>
      <c r="Q13" s="39"/>
      <c r="R13" s="39"/>
      <c r="S13" s="36"/>
      <c r="T13" s="34"/>
      <c r="U13" s="34"/>
      <c r="V13" s="34"/>
      <c r="W13" s="34"/>
      <c r="X13" s="38"/>
      <c r="Y13" s="38"/>
      <c r="Z13" s="38"/>
      <c r="AA13" s="20"/>
      <c r="AB13" s="22"/>
      <c r="AC13" s="22"/>
      <c r="AD13" s="22"/>
      <c r="AE13" s="22"/>
      <c r="AF13" s="41"/>
      <c r="AG13" s="41"/>
      <c r="AH13" s="41"/>
      <c r="AI13" s="36"/>
      <c r="AJ13" s="34"/>
      <c r="AK13" s="34"/>
      <c r="AL13" s="34"/>
      <c r="AM13" s="34"/>
      <c r="AN13" s="38"/>
      <c r="AO13" s="38"/>
      <c r="AP13" s="38"/>
      <c r="AQ13" s="20"/>
      <c r="AR13" s="22"/>
      <c r="AS13" s="22"/>
      <c r="AT13" s="22"/>
      <c r="AU13" s="22"/>
      <c r="AV13" s="41"/>
      <c r="AW13" s="41"/>
      <c r="AX13" s="41"/>
      <c r="AY13" s="36"/>
      <c r="AZ13" s="36"/>
      <c r="BA13" s="36"/>
      <c r="BB13" s="36"/>
      <c r="BC13" s="36"/>
      <c r="BD13" s="36"/>
      <c r="BE13" s="36"/>
      <c r="BF13" s="36"/>
      <c r="BG13" s="27"/>
      <c r="BH13" s="27"/>
      <c r="BI13" s="27"/>
      <c r="BJ13" s="27"/>
      <c r="BK13" s="27"/>
      <c r="BL13" s="27"/>
      <c r="BM13" s="27"/>
      <c r="BN13" s="27"/>
      <c r="BO13" s="36"/>
      <c r="BP13" s="34"/>
      <c r="BQ13" s="34"/>
      <c r="BR13" s="34"/>
      <c r="BS13" s="34"/>
      <c r="BT13" s="34"/>
      <c r="BU13" s="34"/>
      <c r="BV13" s="34"/>
      <c r="BW13" s="20"/>
      <c r="BX13" s="22"/>
      <c r="BY13" s="22"/>
      <c r="BZ13" s="22"/>
      <c r="CA13" s="22"/>
      <c r="CB13" s="22"/>
      <c r="CC13" s="22"/>
      <c r="CD13" s="22"/>
      <c r="CE13" s="36"/>
      <c r="CF13" s="34"/>
      <c r="CG13" s="34"/>
      <c r="CH13" s="34"/>
      <c r="CI13" s="34"/>
      <c r="CJ13" s="34"/>
      <c r="CK13" s="34"/>
      <c r="CL13" s="34"/>
      <c r="CM13" s="20"/>
      <c r="CN13" s="22"/>
      <c r="CO13" s="22"/>
      <c r="CP13" s="22"/>
      <c r="CQ13" s="22"/>
      <c r="CR13" s="22"/>
      <c r="CS13" s="22"/>
      <c r="CT13" s="22"/>
      <c r="CU13" s="36"/>
      <c r="CV13" s="34"/>
      <c r="CW13" s="34"/>
      <c r="CX13" s="34"/>
      <c r="CY13" s="34"/>
      <c r="CZ13" s="116"/>
      <c r="DA13" s="117"/>
      <c r="DB13" s="20"/>
      <c r="DC13" s="22"/>
      <c r="DD13" s="22"/>
      <c r="DE13" s="22"/>
      <c r="DF13" s="22"/>
      <c r="DG13" s="22"/>
      <c r="DH13" s="20"/>
      <c r="DI13" s="20"/>
    </row>
    <row r="14" spans="1:113" x14ac:dyDescent="0.2">
      <c r="A14" s="136"/>
      <c r="B14" s="141"/>
      <c r="C14" s="33"/>
      <c r="D14" s="36"/>
      <c r="E14" s="36"/>
      <c r="F14" s="36"/>
      <c r="G14" s="36"/>
      <c r="H14" s="40"/>
      <c r="I14" s="40"/>
      <c r="J14" s="40"/>
      <c r="K14" s="20"/>
      <c r="L14" s="20"/>
      <c r="M14" s="20"/>
      <c r="N14" s="20"/>
      <c r="O14" s="20"/>
      <c r="P14" s="39"/>
      <c r="Q14" s="39"/>
      <c r="R14" s="39"/>
      <c r="S14" s="36"/>
      <c r="T14" s="34"/>
      <c r="U14" s="34"/>
      <c r="V14" s="34"/>
      <c r="W14" s="34"/>
      <c r="X14" s="38"/>
      <c r="Y14" s="38"/>
      <c r="Z14" s="38"/>
      <c r="AA14" s="20"/>
      <c r="AB14" s="22"/>
      <c r="AC14" s="22"/>
      <c r="AD14" s="22"/>
      <c r="AE14" s="22"/>
      <c r="AF14" s="41"/>
      <c r="AG14" s="41"/>
      <c r="AH14" s="41"/>
      <c r="AI14" s="36"/>
      <c r="AJ14" s="34"/>
      <c r="AK14" s="34"/>
      <c r="AL14" s="34"/>
      <c r="AM14" s="34"/>
      <c r="AN14" s="38"/>
      <c r="AO14" s="38"/>
      <c r="AP14" s="38"/>
      <c r="AQ14" s="20"/>
      <c r="AR14" s="22"/>
      <c r="AS14" s="22"/>
      <c r="AT14" s="22"/>
      <c r="AU14" s="22"/>
      <c r="AV14" s="41"/>
      <c r="AW14" s="41"/>
      <c r="AX14" s="41"/>
      <c r="AY14" s="36"/>
      <c r="AZ14" s="36"/>
      <c r="BA14" s="36"/>
      <c r="BB14" s="36"/>
      <c r="BC14" s="36"/>
      <c r="BD14" s="40"/>
      <c r="BE14" s="40"/>
      <c r="BF14" s="40"/>
      <c r="BG14" s="27" t="s">
        <v>104</v>
      </c>
      <c r="BH14" s="27">
        <v>1</v>
      </c>
      <c r="BI14" s="27" t="s">
        <v>188</v>
      </c>
      <c r="BJ14" s="27"/>
      <c r="BK14" s="27"/>
      <c r="BL14" s="27">
        <v>104</v>
      </c>
      <c r="BM14" s="27">
        <v>104</v>
      </c>
      <c r="BN14" s="27"/>
      <c r="BO14" s="36"/>
      <c r="BP14" s="34"/>
      <c r="BQ14" s="34"/>
      <c r="BR14" s="34"/>
      <c r="BS14" s="34"/>
      <c r="BT14" s="34"/>
      <c r="BU14" s="38"/>
      <c r="BV14" s="38"/>
      <c r="BW14" s="20"/>
      <c r="BX14" s="22"/>
      <c r="BY14" s="22"/>
      <c r="BZ14" s="22"/>
      <c r="CA14" s="22"/>
      <c r="CB14" s="22"/>
      <c r="CC14" s="22"/>
      <c r="CD14" s="22"/>
      <c r="CE14" s="36" t="s">
        <v>456</v>
      </c>
      <c r="CF14" s="34"/>
      <c r="CG14" s="34"/>
      <c r="CH14" s="34"/>
      <c r="CI14" s="34"/>
      <c r="CJ14" s="34"/>
      <c r="CK14" s="34"/>
      <c r="CL14" s="34">
        <v>120</v>
      </c>
      <c r="CM14" s="20"/>
      <c r="CN14" s="22"/>
      <c r="CO14" s="22"/>
      <c r="CP14" s="22"/>
      <c r="CQ14" s="22"/>
      <c r="CR14" s="22"/>
      <c r="CS14" s="22"/>
      <c r="CT14" s="22"/>
      <c r="CU14" s="36"/>
      <c r="CV14" s="34"/>
      <c r="CW14" s="34"/>
      <c r="CX14" s="34"/>
      <c r="CY14" s="34"/>
      <c r="CZ14" s="116"/>
      <c r="DA14" s="117"/>
      <c r="DB14" s="20"/>
      <c r="DC14" s="22"/>
      <c r="DD14" s="22"/>
      <c r="DE14" s="22"/>
      <c r="DF14" s="22"/>
      <c r="DG14" s="22"/>
      <c r="DH14" s="20"/>
      <c r="DI14" s="20"/>
    </row>
    <row r="15" spans="1:113" s="100" customFormat="1" x14ac:dyDescent="0.2">
      <c r="A15" s="137"/>
      <c r="B15" s="142"/>
      <c r="C15" s="132"/>
      <c r="D15" s="96"/>
      <c r="E15" s="96" t="s">
        <v>83</v>
      </c>
      <c r="F15" s="96"/>
      <c r="G15" s="96"/>
      <c r="H15" s="133">
        <f>SUM(H2:H14)</f>
        <v>17606.12</v>
      </c>
      <c r="I15" s="133">
        <f>SUM(I2:I12)</f>
        <v>18277.650000000001</v>
      </c>
      <c r="J15" s="147">
        <f>SUM(J2:J12)</f>
        <v>20594.2</v>
      </c>
      <c r="K15" s="90"/>
      <c r="L15" s="90"/>
      <c r="M15" s="90" t="s">
        <v>83</v>
      </c>
      <c r="N15" s="90"/>
      <c r="O15" s="90"/>
      <c r="P15" s="91">
        <f>SUM(P2:P14)</f>
        <v>13519</v>
      </c>
      <c r="Q15" s="91">
        <f>SUM(Q2:Q12)</f>
        <v>13007.699999999999</v>
      </c>
      <c r="R15" s="91">
        <f>SUM(R2:R12)</f>
        <v>14728.050000000001</v>
      </c>
      <c r="S15" s="96"/>
      <c r="T15" s="96"/>
      <c r="U15" s="96" t="s">
        <v>83</v>
      </c>
      <c r="V15" s="96"/>
      <c r="W15" s="96"/>
      <c r="X15" s="127">
        <f>SUM(X2:X14)</f>
        <v>15629.250000000002</v>
      </c>
      <c r="Y15" s="127">
        <f>SUM(Y2:Y12)</f>
        <v>15169</v>
      </c>
      <c r="Z15" s="127">
        <f>SUM(Z2:Z12)</f>
        <v>16141.6</v>
      </c>
      <c r="AA15" s="90"/>
      <c r="AB15" s="92"/>
      <c r="AC15" s="92" t="s">
        <v>83</v>
      </c>
      <c r="AD15" s="92"/>
      <c r="AE15" s="92"/>
      <c r="AF15" s="93">
        <f>SUM(AF2:AF14)</f>
        <v>16689.2</v>
      </c>
      <c r="AG15" s="93">
        <f>SUM(AG2:AG11)</f>
        <v>16753</v>
      </c>
      <c r="AH15" s="93">
        <f>SUM(AH2:AH12)</f>
        <v>16884.399999999998</v>
      </c>
      <c r="AI15" s="96"/>
      <c r="AJ15" s="97"/>
      <c r="AK15" s="97" t="s">
        <v>83</v>
      </c>
      <c r="AL15" s="97"/>
      <c r="AM15" s="97"/>
      <c r="AN15" s="98">
        <f>SUM(AN2:AN14)</f>
        <v>14552.1</v>
      </c>
      <c r="AO15" s="98">
        <f>SUM(AO2:AO12)</f>
        <v>16890</v>
      </c>
      <c r="AP15" s="98">
        <f>SUM(AP2:AP12)</f>
        <v>17800.199999999997</v>
      </c>
      <c r="AQ15" s="90"/>
      <c r="AR15" s="92"/>
      <c r="AS15" s="92" t="s">
        <v>83</v>
      </c>
      <c r="AT15" s="92"/>
      <c r="AU15" s="92"/>
      <c r="AV15" s="93">
        <f>SUM(AV2:AV14)</f>
        <v>16896.48</v>
      </c>
      <c r="AW15" s="93">
        <f>SUM(AW2:AW12)</f>
        <v>16425.599999999999</v>
      </c>
      <c r="AX15" s="93">
        <f>SUM(AX2:AX12)</f>
        <v>17732.620000000003</v>
      </c>
      <c r="AY15" s="96"/>
      <c r="AZ15" s="96"/>
      <c r="BA15" s="96" t="s">
        <v>83</v>
      </c>
      <c r="BB15" s="96"/>
      <c r="BC15" s="96"/>
      <c r="BD15" s="127">
        <f>SUM(BD2:BD14)</f>
        <v>15094.730000000001</v>
      </c>
      <c r="BE15" s="127">
        <f>SUM(BE2:BE12)</f>
        <v>15300.15</v>
      </c>
      <c r="BF15" s="127">
        <f>SUM(BF2:BF12)</f>
        <v>15966.900000000001</v>
      </c>
      <c r="BG15" s="94"/>
      <c r="BH15" s="94"/>
      <c r="BI15" s="94" t="s">
        <v>83</v>
      </c>
      <c r="BJ15" s="94"/>
      <c r="BK15" s="94"/>
      <c r="BL15" s="94">
        <f>SUM(BL2:BL14)</f>
        <v>14919</v>
      </c>
      <c r="BM15" s="95">
        <f>SUM(BM2:BM14)</f>
        <v>16219.7</v>
      </c>
      <c r="BN15" s="95">
        <f>SUM(BN2:BN14)+BN17</f>
        <v>18020.800000000003</v>
      </c>
      <c r="BO15" s="96"/>
      <c r="BP15" s="97"/>
      <c r="BQ15" s="97" t="s">
        <v>83</v>
      </c>
      <c r="BR15" s="97"/>
      <c r="BS15" s="97"/>
      <c r="BT15" s="97">
        <f>SUM(BT2:BT14)</f>
        <v>16148</v>
      </c>
      <c r="BU15" s="98">
        <f>SUM(BU2:BU12)</f>
        <v>15215.890000000001</v>
      </c>
      <c r="BV15" s="98">
        <f>SUM(BV2:BV12)</f>
        <v>17056.812500000004</v>
      </c>
      <c r="BW15" s="90"/>
      <c r="BX15" s="92"/>
      <c r="BY15" s="92" t="s">
        <v>83</v>
      </c>
      <c r="BZ15" s="92"/>
      <c r="CA15" s="92"/>
      <c r="CB15" s="93">
        <f>SUM(CB2:CB14)</f>
        <v>14558</v>
      </c>
      <c r="CC15" s="93">
        <f>SUM(CC2:CC12)</f>
        <v>13507.5</v>
      </c>
      <c r="CD15" s="93">
        <f>SUM(CD2:CD12)</f>
        <v>15828.775</v>
      </c>
      <c r="CE15" s="96" t="s">
        <v>83</v>
      </c>
      <c r="CF15" s="97"/>
      <c r="CG15" s="97" t="s">
        <v>83</v>
      </c>
      <c r="CH15" s="97"/>
      <c r="CI15" s="97"/>
      <c r="CJ15" s="98">
        <f>SUM(CJ2:CJ14)</f>
        <v>14165.68</v>
      </c>
      <c r="CK15" s="98">
        <f>SUM(CK2:CK12)</f>
        <v>12394.12</v>
      </c>
      <c r="CL15" s="148">
        <f>SUM(CL2:CL14)</f>
        <v>14014.2</v>
      </c>
      <c r="CM15" s="90" t="s">
        <v>83</v>
      </c>
      <c r="CN15" s="92"/>
      <c r="CO15" s="92"/>
      <c r="CP15" s="92"/>
      <c r="CQ15" s="92"/>
      <c r="CR15" s="93">
        <f>SUM(CR2:CR14)</f>
        <v>16802</v>
      </c>
      <c r="CS15" s="93">
        <f>SUM(CS2:CS12)</f>
        <v>14682.300000000001</v>
      </c>
      <c r="CT15" s="93">
        <f>SUM(CT2:CT12)+4</f>
        <v>18297</v>
      </c>
      <c r="CU15" s="96" t="s">
        <v>83</v>
      </c>
      <c r="CV15" s="97"/>
      <c r="CW15" s="97"/>
      <c r="CX15" s="97"/>
      <c r="CY15" s="115">
        <f>SUM(CY2:CY14)</f>
        <v>17780.400000000001</v>
      </c>
      <c r="CZ15" s="118"/>
      <c r="DA15" s="115">
        <f>SUM(DA2:DA12)</f>
        <v>14054.800000000001</v>
      </c>
      <c r="DB15" s="90" t="s">
        <v>83</v>
      </c>
      <c r="DC15" s="92"/>
      <c r="DD15" s="92"/>
      <c r="DE15" s="92"/>
      <c r="DF15" s="92"/>
      <c r="DG15" s="93">
        <f>SUM(DG2:DG14)</f>
        <v>13534.270000000002</v>
      </c>
      <c r="DH15" s="99">
        <f>SUM(DH2:DH12)</f>
        <v>12855.070000000002</v>
      </c>
      <c r="DI15" s="99">
        <f>SUM(DI2:DI12)</f>
        <v>14041.630000000001</v>
      </c>
    </row>
    <row r="16" spans="1:113" s="79" customFormat="1" x14ac:dyDescent="0.2">
      <c r="A16" s="77" t="s">
        <v>105</v>
      </c>
      <c r="B16" s="78"/>
      <c r="C16" s="134" t="s">
        <v>63</v>
      </c>
      <c r="D16" s="85"/>
      <c r="E16" s="85"/>
      <c r="F16" s="85"/>
      <c r="G16" s="85"/>
      <c r="H16" s="89">
        <v>0</v>
      </c>
      <c r="I16" s="89">
        <v>995</v>
      </c>
      <c r="J16" s="89">
        <v>1195</v>
      </c>
      <c r="K16" s="23" t="s">
        <v>81</v>
      </c>
      <c r="L16" s="23"/>
      <c r="M16" s="23"/>
      <c r="N16" s="23"/>
      <c r="O16" s="23"/>
      <c r="P16" s="88">
        <v>1500</v>
      </c>
      <c r="Q16" s="88">
        <v>1500</v>
      </c>
      <c r="R16" s="88">
        <v>1877</v>
      </c>
      <c r="S16" s="85" t="s">
        <v>63</v>
      </c>
      <c r="T16" s="85"/>
      <c r="U16" s="85"/>
      <c r="V16" s="85"/>
      <c r="W16" s="85"/>
      <c r="X16" s="89">
        <v>900</v>
      </c>
      <c r="Y16" s="89">
        <v>900</v>
      </c>
      <c r="Z16" s="89">
        <v>399</v>
      </c>
      <c r="AA16" s="23" t="s">
        <v>366</v>
      </c>
      <c r="AB16" s="82">
        <v>395</v>
      </c>
      <c r="AC16" s="82"/>
      <c r="AD16" s="82"/>
      <c r="AE16" s="82"/>
      <c r="AF16" s="42">
        <v>395</v>
      </c>
      <c r="AG16" s="42">
        <v>395</v>
      </c>
      <c r="AH16" s="42">
        <v>795</v>
      </c>
      <c r="AI16" s="85" t="s">
        <v>378</v>
      </c>
      <c r="AJ16" s="86"/>
      <c r="AK16" s="86"/>
      <c r="AL16" s="86"/>
      <c r="AM16" s="86"/>
      <c r="AN16" s="87">
        <v>995</v>
      </c>
      <c r="AO16" s="87">
        <v>995</v>
      </c>
      <c r="AP16" s="87">
        <v>259</v>
      </c>
      <c r="AQ16" s="23" t="s">
        <v>464</v>
      </c>
      <c r="AR16" s="82"/>
      <c r="AS16" s="82"/>
      <c r="AT16" s="82"/>
      <c r="AU16" s="82"/>
      <c r="AV16" s="42">
        <v>960</v>
      </c>
      <c r="AW16" s="42">
        <v>960</v>
      </c>
      <c r="AX16" s="42">
        <v>1119</v>
      </c>
      <c r="AY16" s="85" t="s">
        <v>82</v>
      </c>
      <c r="AZ16" s="85"/>
      <c r="BA16" s="85"/>
      <c r="BB16" s="85"/>
      <c r="BC16" s="85"/>
      <c r="BD16" s="89">
        <v>600</v>
      </c>
      <c r="BE16" s="89">
        <v>1320</v>
      </c>
      <c r="BF16" s="89">
        <v>620</v>
      </c>
      <c r="BG16" s="83" t="s">
        <v>124</v>
      </c>
      <c r="BH16" s="83"/>
      <c r="BI16" s="83"/>
      <c r="BJ16" s="83"/>
      <c r="BK16" s="83"/>
      <c r="BL16" s="83">
        <v>895</v>
      </c>
      <c r="BM16" s="84">
        <v>895</v>
      </c>
      <c r="BN16" s="84">
        <v>799</v>
      </c>
      <c r="BO16" s="85" t="s">
        <v>71</v>
      </c>
      <c r="BP16" s="86"/>
      <c r="BQ16" s="86"/>
      <c r="BR16" s="86"/>
      <c r="BS16" s="86"/>
      <c r="BT16" s="86">
        <v>800</v>
      </c>
      <c r="BU16" s="87">
        <v>869</v>
      </c>
      <c r="BV16" s="87">
        <v>925</v>
      </c>
      <c r="BW16" s="23" t="s">
        <v>71</v>
      </c>
      <c r="BX16" s="23"/>
      <c r="BY16" s="23"/>
      <c r="BZ16" s="23"/>
      <c r="CA16" s="23"/>
      <c r="CB16" s="88">
        <v>995</v>
      </c>
      <c r="CC16" s="88">
        <v>995</v>
      </c>
      <c r="CD16" s="88">
        <v>744</v>
      </c>
      <c r="CE16" s="85" t="s">
        <v>71</v>
      </c>
      <c r="CF16" s="85"/>
      <c r="CG16" s="85"/>
      <c r="CH16" s="85"/>
      <c r="CI16" s="85"/>
      <c r="CJ16" s="89">
        <v>1700</v>
      </c>
      <c r="CK16" s="89">
        <v>1700</v>
      </c>
      <c r="CL16" s="89">
        <v>2250</v>
      </c>
      <c r="CM16" s="23" t="s">
        <v>74</v>
      </c>
      <c r="CN16" s="82"/>
      <c r="CO16" s="82"/>
      <c r="CP16" s="82"/>
      <c r="CQ16" s="82"/>
      <c r="CR16" s="42">
        <v>868</v>
      </c>
      <c r="CS16" s="42">
        <v>868</v>
      </c>
      <c r="CT16" s="42">
        <v>934</v>
      </c>
      <c r="CU16" s="85" t="s">
        <v>74</v>
      </c>
      <c r="CV16" s="85"/>
      <c r="CW16" s="85"/>
      <c r="CX16" s="85"/>
      <c r="CY16" s="85">
        <v>2437</v>
      </c>
      <c r="CZ16" s="119"/>
      <c r="DA16" s="120">
        <f>2.5*895</f>
        <v>2237.5</v>
      </c>
      <c r="DB16" s="23" t="s">
        <v>129</v>
      </c>
      <c r="DC16" s="23"/>
      <c r="DD16" s="23"/>
      <c r="DE16" s="23"/>
      <c r="DF16" s="23"/>
      <c r="DG16" s="23" t="s">
        <v>53</v>
      </c>
      <c r="DH16" s="23"/>
      <c r="DI16" s="23"/>
    </row>
    <row r="17" spans="1:113" s="80" customFormat="1" ht="17" thickBot="1" x14ac:dyDescent="0.25">
      <c r="A17" s="138"/>
      <c r="B17" s="143"/>
      <c r="C17" s="33"/>
      <c r="D17" s="36"/>
      <c r="E17" s="36"/>
      <c r="F17" s="36"/>
      <c r="G17" s="36"/>
      <c r="H17" s="40"/>
      <c r="I17" s="40"/>
      <c r="J17" s="40"/>
      <c r="K17" s="20"/>
      <c r="L17" s="20"/>
      <c r="M17" s="20"/>
      <c r="N17" s="20"/>
      <c r="O17" s="20"/>
      <c r="P17" s="43"/>
      <c r="Q17" s="43"/>
      <c r="R17" s="43"/>
      <c r="S17" s="36"/>
      <c r="T17" s="36"/>
      <c r="U17" s="36"/>
      <c r="V17" s="36"/>
      <c r="W17" s="36"/>
      <c r="X17" s="40"/>
      <c r="Y17" s="40"/>
      <c r="Z17" s="40"/>
      <c r="AA17" s="23" t="s">
        <v>367</v>
      </c>
      <c r="AB17" s="22"/>
      <c r="AC17" s="22"/>
      <c r="AD17" s="22"/>
      <c r="AE17" s="22"/>
      <c r="AF17" s="41"/>
      <c r="AG17" s="41"/>
      <c r="AH17" s="42">
        <v>1025</v>
      </c>
      <c r="AI17" s="36"/>
      <c r="AJ17" s="34"/>
      <c r="AK17" s="34"/>
      <c r="AL17" s="34"/>
      <c r="AM17" s="34"/>
      <c r="AN17" s="38"/>
      <c r="AO17" s="38"/>
      <c r="AP17" s="38"/>
      <c r="AQ17" s="20"/>
      <c r="AR17" s="22"/>
      <c r="AS17" s="22"/>
      <c r="AT17" s="22"/>
      <c r="AU17" s="22"/>
      <c r="AV17" s="41"/>
      <c r="AW17" s="41"/>
      <c r="AX17" s="41"/>
      <c r="AY17" s="36"/>
      <c r="AZ17" s="36"/>
      <c r="BA17" s="36"/>
      <c r="BB17" s="36"/>
      <c r="BC17" s="36"/>
      <c r="BD17" s="40"/>
      <c r="BE17" s="40"/>
      <c r="BF17" s="40"/>
      <c r="BG17" s="27"/>
      <c r="BH17" s="27"/>
      <c r="BI17" s="27"/>
      <c r="BJ17" s="27"/>
      <c r="BK17" s="27"/>
      <c r="BL17" s="27"/>
      <c r="BM17" s="37"/>
      <c r="BN17" s="125">
        <v>3605</v>
      </c>
      <c r="BO17" s="36"/>
      <c r="BP17" s="36"/>
      <c r="BQ17" s="36"/>
      <c r="BR17" s="36"/>
      <c r="BS17" s="36"/>
      <c r="BT17" s="36"/>
      <c r="BU17" s="40"/>
      <c r="BV17" s="40"/>
      <c r="BW17" s="20"/>
      <c r="BX17" s="20"/>
      <c r="BY17" s="20"/>
      <c r="BZ17" s="20"/>
      <c r="CA17" s="20"/>
      <c r="CB17" s="39"/>
      <c r="CC17" s="39"/>
      <c r="CD17" s="39"/>
      <c r="CE17" s="36"/>
      <c r="CF17" s="36"/>
      <c r="CG17" s="36"/>
      <c r="CH17" s="36"/>
      <c r="CI17" s="36"/>
      <c r="CJ17" s="40"/>
      <c r="CK17" s="40"/>
      <c r="CL17" s="40"/>
      <c r="CM17" s="20"/>
      <c r="CN17" s="20"/>
      <c r="CO17" s="20"/>
      <c r="CP17" s="20"/>
      <c r="CQ17" s="20"/>
      <c r="CR17" s="39"/>
      <c r="CS17" s="39"/>
      <c r="CT17" s="39"/>
      <c r="CU17" s="36"/>
      <c r="CV17" s="36"/>
      <c r="CW17" s="36"/>
      <c r="CX17" s="36"/>
      <c r="CY17" s="36"/>
      <c r="CZ17" s="119"/>
      <c r="DA17" s="121"/>
      <c r="DB17" s="20"/>
      <c r="DC17" s="20"/>
      <c r="DD17" s="20"/>
      <c r="DE17" s="20"/>
      <c r="DF17" s="20"/>
      <c r="DG17" s="20"/>
      <c r="DH17" s="20"/>
      <c r="DI17" s="20"/>
    </row>
    <row r="18" spans="1:113" s="111" customFormat="1" x14ac:dyDescent="0.2">
      <c r="A18" s="139"/>
      <c r="B18" s="144"/>
      <c r="C18" s="135"/>
      <c r="D18" s="108"/>
      <c r="E18" s="108" t="s">
        <v>91</v>
      </c>
      <c r="F18" s="108"/>
      <c r="G18" s="108"/>
      <c r="H18" s="109">
        <f>SUM(H15:H17)</f>
        <v>17606.12</v>
      </c>
      <c r="I18" s="109">
        <f>SUM(I15:I16)</f>
        <v>19272.650000000001</v>
      </c>
      <c r="J18" s="146">
        <f>SUM(J15:J16)</f>
        <v>21789.200000000001</v>
      </c>
      <c r="K18" s="101"/>
      <c r="L18" s="101"/>
      <c r="M18" s="101" t="s">
        <v>91</v>
      </c>
      <c r="N18" s="101"/>
      <c r="O18" s="101"/>
      <c r="P18" s="102">
        <f>SUM(P15:P17)</f>
        <v>15019</v>
      </c>
      <c r="Q18" s="102">
        <f>SUM(Q15:Q16)</f>
        <v>14507.699999999999</v>
      </c>
      <c r="R18" s="102">
        <f>SUM(R15:R16)</f>
        <v>16605.050000000003</v>
      </c>
      <c r="S18" s="108"/>
      <c r="T18" s="108"/>
      <c r="U18" s="108" t="s">
        <v>91</v>
      </c>
      <c r="V18" s="108"/>
      <c r="W18" s="108"/>
      <c r="X18" s="109">
        <f>SUM(X15:X17)</f>
        <v>16529.25</v>
      </c>
      <c r="Y18" s="109">
        <f>SUM(Y15:Y16)</f>
        <v>16069</v>
      </c>
      <c r="Z18" s="109">
        <f>SUM(Z15:Z16)</f>
        <v>16540.599999999999</v>
      </c>
      <c r="AA18" s="101"/>
      <c r="AB18" s="103"/>
      <c r="AC18" s="103" t="s">
        <v>91</v>
      </c>
      <c r="AD18" s="103"/>
      <c r="AE18" s="103"/>
      <c r="AF18" s="104">
        <f>SUM(AF15:AF17)</f>
        <v>17084.2</v>
      </c>
      <c r="AG18" s="104">
        <f>SUM(AG15:AG16)</f>
        <v>17148</v>
      </c>
      <c r="AH18" s="104">
        <f>SUM(AH15:AH17)</f>
        <v>18704.399999999998</v>
      </c>
      <c r="AI18" s="108"/>
      <c r="AJ18" s="130"/>
      <c r="AK18" s="130" t="s">
        <v>91</v>
      </c>
      <c r="AL18" s="130"/>
      <c r="AM18" s="130"/>
      <c r="AN18" s="131">
        <f>SUM(AN15:AN17)</f>
        <v>15547.1</v>
      </c>
      <c r="AO18" s="131">
        <f>SUM(AO15:AO16)</f>
        <v>17885</v>
      </c>
      <c r="AP18" s="131">
        <f>SUM(AP15:AP16)</f>
        <v>18059.199999999997</v>
      </c>
      <c r="AQ18" s="101"/>
      <c r="AR18" s="103"/>
      <c r="AS18" s="103" t="s">
        <v>91</v>
      </c>
      <c r="AT18" s="103"/>
      <c r="AU18" s="103"/>
      <c r="AV18" s="104">
        <f>SUM(AV15:AV17)</f>
        <v>17856.48</v>
      </c>
      <c r="AW18" s="104">
        <f>SUM(AW15:AW16)</f>
        <v>17385.599999999999</v>
      </c>
      <c r="AX18" s="104">
        <f>SUM(AX15:AX16)</f>
        <v>18851.620000000003</v>
      </c>
      <c r="AY18" s="108"/>
      <c r="AZ18" s="108"/>
      <c r="BA18" s="108" t="s">
        <v>91</v>
      </c>
      <c r="BB18" s="108"/>
      <c r="BC18" s="108"/>
      <c r="BD18" s="109">
        <f>SUM(BD15:BD17)</f>
        <v>15694.730000000001</v>
      </c>
      <c r="BE18" s="109">
        <f>SUM(BE15:BE16)</f>
        <v>16620.150000000001</v>
      </c>
      <c r="BF18" s="109">
        <f>SUM(BF15:BF16)</f>
        <v>16586.900000000001</v>
      </c>
      <c r="BG18" s="105"/>
      <c r="BH18" s="105"/>
      <c r="BI18" s="105" t="s">
        <v>91</v>
      </c>
      <c r="BJ18" s="105"/>
      <c r="BK18" s="105"/>
      <c r="BL18" s="105">
        <f>SUM(BL15:BL17)</f>
        <v>15814</v>
      </c>
      <c r="BM18" s="106">
        <f>SUM(BM15:BM16)</f>
        <v>17114.7</v>
      </c>
      <c r="BN18" s="106">
        <f>SUM(BN14:BN17)-BN17</f>
        <v>18819.800000000003</v>
      </c>
      <c r="BO18" s="108"/>
      <c r="BP18" s="108"/>
      <c r="BQ18" s="108" t="s">
        <v>91</v>
      </c>
      <c r="BR18" s="108"/>
      <c r="BS18" s="108"/>
      <c r="BT18" s="108">
        <f>SUM(BT15:BT17)</f>
        <v>16948</v>
      </c>
      <c r="BU18" s="109">
        <f>SUM(BU15:BU16)</f>
        <v>16084.890000000001</v>
      </c>
      <c r="BV18" s="109">
        <f>SUM(BV15:BV16)</f>
        <v>17981.812500000004</v>
      </c>
      <c r="BW18" s="101"/>
      <c r="BX18" s="101"/>
      <c r="BY18" s="101" t="s">
        <v>91</v>
      </c>
      <c r="BZ18" s="101"/>
      <c r="CA18" s="101"/>
      <c r="CB18" s="107">
        <f>SUM(CB15:CB17)</f>
        <v>15553</v>
      </c>
      <c r="CC18" s="107">
        <f>SUM(CC15:CC16)</f>
        <v>14502.5</v>
      </c>
      <c r="CD18" s="107">
        <f>SUM(CD15:CD16)</f>
        <v>16572.775000000001</v>
      </c>
      <c r="CE18" s="108"/>
      <c r="CF18" s="108"/>
      <c r="CG18" s="108" t="s">
        <v>91</v>
      </c>
      <c r="CH18" s="108"/>
      <c r="CI18" s="108"/>
      <c r="CJ18" s="109">
        <f>SUM(CJ15:CJ17)</f>
        <v>15865.68</v>
      </c>
      <c r="CK18" s="109">
        <f>SUM(CK15:CK16)</f>
        <v>14094.12</v>
      </c>
      <c r="CL18" s="149">
        <f>SUM(CL15:CL16)</f>
        <v>16264.2</v>
      </c>
      <c r="CM18" s="101"/>
      <c r="CN18" s="101"/>
      <c r="CO18" s="101" t="s">
        <v>91</v>
      </c>
      <c r="CP18" s="101"/>
      <c r="CQ18" s="101"/>
      <c r="CR18" s="107">
        <f>SUM(CR15:CR17)</f>
        <v>17670</v>
      </c>
      <c r="CS18" s="107">
        <f>SUM(CS15:CS16)</f>
        <v>15550.300000000001</v>
      </c>
      <c r="CT18" s="107">
        <f>SUM(CT15:CT17)</f>
        <v>19231</v>
      </c>
      <c r="CU18" s="108"/>
      <c r="CV18" s="108"/>
      <c r="CW18" s="108"/>
      <c r="CX18" s="108"/>
      <c r="CY18" s="109">
        <f>SUM(CY15:CY17)</f>
        <v>20217.400000000001</v>
      </c>
      <c r="CZ18" s="122"/>
      <c r="DA18" s="123">
        <f>SUM(DA15:DA16)</f>
        <v>16292.300000000001</v>
      </c>
      <c r="DB18" s="101" t="s">
        <v>91</v>
      </c>
      <c r="DC18" s="101"/>
      <c r="DD18" s="101"/>
      <c r="DE18" s="101"/>
      <c r="DF18" s="101"/>
      <c r="DG18" s="110" t="s">
        <v>148</v>
      </c>
      <c r="DH18" s="110" t="s">
        <v>148</v>
      </c>
      <c r="DI18" s="110" t="s">
        <v>148</v>
      </c>
    </row>
    <row r="19" spans="1:113" x14ac:dyDescent="0.2">
      <c r="B19" s="65"/>
      <c r="K19" t="s">
        <v>410</v>
      </c>
      <c r="S19" t="s">
        <v>351</v>
      </c>
      <c r="AI19" t="s">
        <v>370</v>
      </c>
      <c r="AQ19" t="s">
        <v>396</v>
      </c>
      <c r="AY19" t="s">
        <v>399</v>
      </c>
      <c r="BG19" t="s">
        <v>471</v>
      </c>
      <c r="BN19" t="s">
        <v>477</v>
      </c>
      <c r="BW19" t="s">
        <v>474</v>
      </c>
    </row>
    <row r="20" spans="1:113" x14ac:dyDescent="0.2">
      <c r="A20" s="140" t="s">
        <v>457</v>
      </c>
      <c r="B20" s="145">
        <f>SUM((J15+R15+Z15+AH15+AP15+AX15+BF15+BN15+BV15+CD15+CL15+CT15+DI15+DA15)/14)</f>
        <v>16511.570535714287</v>
      </c>
      <c r="S20" t="s">
        <v>358</v>
      </c>
      <c r="AI20" t="s">
        <v>372</v>
      </c>
      <c r="AY20" t="s">
        <v>405</v>
      </c>
      <c r="BG20" t="s">
        <v>472</v>
      </c>
      <c r="BW20" t="s">
        <v>476</v>
      </c>
    </row>
    <row r="21" spans="1:113" x14ac:dyDescent="0.2">
      <c r="A21" s="140" t="s">
        <v>458</v>
      </c>
      <c r="B21" s="145">
        <f>SUM((J18+R18+AH18+AX18+BF18+BN18+BV18+CD18+CL18+CT18+DA18)/11)</f>
        <v>17972.64159090909</v>
      </c>
      <c r="AI21" t="s">
        <v>379</v>
      </c>
    </row>
    <row r="28" spans="1:113" x14ac:dyDescent="0.2">
      <c r="CH28">
        <v>1</v>
      </c>
    </row>
    <row r="46" spans="14:14" x14ac:dyDescent="0.2">
      <c r="N46" s="19"/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5407-A73F-4741-9CD5-3201B11F36C6}">
  <dimension ref="A1:N57"/>
  <sheetViews>
    <sheetView workbookViewId="0">
      <selection activeCell="O22" sqref="O22"/>
    </sheetView>
  </sheetViews>
  <sheetFormatPr baseColWidth="10" defaultRowHeight="16" x14ac:dyDescent="0.2"/>
  <cols>
    <col min="1" max="1" width="54.33203125" customWidth="1"/>
    <col min="2" max="2" width="13.5" bestFit="1" customWidth="1"/>
    <col min="3" max="3" width="23.1640625" customWidth="1"/>
    <col min="6" max="6" width="54.33203125" customWidth="1"/>
    <col min="7" max="7" width="10.83203125" customWidth="1"/>
    <col min="8" max="8" width="22.1640625" customWidth="1"/>
    <col min="9" max="9" width="10.5" customWidth="1"/>
    <col min="11" max="11" width="54.5" customWidth="1"/>
    <col min="13" max="13" width="22.83203125" customWidth="1"/>
  </cols>
  <sheetData>
    <row r="1" spans="1:14" x14ac:dyDescent="0.2">
      <c r="A1" s="66" t="s">
        <v>116</v>
      </c>
      <c r="B1" s="67" t="s">
        <v>314</v>
      </c>
      <c r="C1" s="68"/>
      <c r="D1" s="68"/>
      <c r="F1" s="66" t="s">
        <v>116</v>
      </c>
      <c r="G1" s="67" t="s">
        <v>292</v>
      </c>
      <c r="H1" s="68"/>
      <c r="I1" s="68"/>
      <c r="K1" s="66" t="s">
        <v>116</v>
      </c>
      <c r="L1" s="67" t="s">
        <v>310</v>
      </c>
      <c r="M1" s="68"/>
      <c r="N1" s="68"/>
    </row>
    <row r="2" spans="1:14" x14ac:dyDescent="0.2">
      <c r="A2" s="2" t="s">
        <v>291</v>
      </c>
      <c r="B2" s="47">
        <f>'Alla priser från butiker'!CL15</f>
        <v>14014.2</v>
      </c>
      <c r="C2" s="32">
        <f>SUM(B2-$B$15)</f>
        <v>-6580</v>
      </c>
      <c r="D2" s="2"/>
      <c r="F2" s="2" t="s">
        <v>125</v>
      </c>
      <c r="G2" s="13">
        <v>12855.07</v>
      </c>
      <c r="H2" s="2">
        <f>SUM(G2-G13)</f>
        <v>-5422.5800000000017</v>
      </c>
      <c r="I2" s="2"/>
      <c r="K2" s="2" t="s">
        <v>4</v>
      </c>
      <c r="L2" s="13">
        <v>13519</v>
      </c>
      <c r="M2" s="2">
        <f>SUM(L2-L15)</f>
        <v>-4261</v>
      </c>
      <c r="N2" s="2"/>
    </row>
    <row r="3" spans="1:14" x14ac:dyDescent="0.2">
      <c r="A3" s="1" t="s">
        <v>125</v>
      </c>
      <c r="B3" s="48">
        <f>'Alla priser från butiker'!DI15</f>
        <v>14041.630000000001</v>
      </c>
      <c r="C3" s="31">
        <f>SUM(B3-$B$15)</f>
        <v>-6552.57</v>
      </c>
      <c r="D3" s="1"/>
      <c r="F3" s="1" t="s">
        <v>4</v>
      </c>
      <c r="G3" s="15">
        <v>13007.7</v>
      </c>
      <c r="H3" s="1">
        <f>SUM(G3-G13)</f>
        <v>-5269.9500000000007</v>
      </c>
      <c r="I3" s="1"/>
      <c r="K3" s="1" t="s">
        <v>125</v>
      </c>
      <c r="L3" s="4">
        <v>13534</v>
      </c>
      <c r="M3" s="1">
        <f>SUM(L3-L15)</f>
        <v>-4246</v>
      </c>
      <c r="N3" s="1"/>
    </row>
    <row r="4" spans="1:14" x14ac:dyDescent="0.2">
      <c r="A4" s="1" t="s">
        <v>483</v>
      </c>
      <c r="B4" s="48">
        <f>'Alla priser från butiker'!DA15</f>
        <v>14054.800000000001</v>
      </c>
      <c r="C4" s="31">
        <f>SUM(B4-$B$15)</f>
        <v>-6539.4</v>
      </c>
      <c r="D4" s="1"/>
      <c r="F4" s="1"/>
      <c r="G4" s="15"/>
      <c r="H4" s="1"/>
      <c r="I4" s="1"/>
      <c r="K4" s="1"/>
      <c r="L4" s="4"/>
      <c r="M4" s="1"/>
      <c r="N4" s="1"/>
    </row>
    <row r="5" spans="1:14" x14ac:dyDescent="0.2">
      <c r="A5" s="1" t="s">
        <v>460</v>
      </c>
      <c r="B5" s="49">
        <f>'Alla priser från butiker'!R15</f>
        <v>14728.050000000001</v>
      </c>
      <c r="C5" s="31">
        <f>SUM(B5-B15)</f>
        <v>-5866.15</v>
      </c>
      <c r="D5" s="1"/>
      <c r="F5" s="1" t="s">
        <v>111</v>
      </c>
      <c r="G5" s="4">
        <v>13507.5</v>
      </c>
      <c r="H5" s="1">
        <f>SUM(G5-G13)</f>
        <v>-4770.1500000000015</v>
      </c>
      <c r="I5" s="1"/>
      <c r="K5" s="1" t="s">
        <v>291</v>
      </c>
      <c r="L5" s="4">
        <v>14166</v>
      </c>
      <c r="M5" s="1">
        <f>SUM(L5-L15)</f>
        <v>-3614</v>
      </c>
      <c r="N5" s="1"/>
    </row>
    <row r="6" spans="1:14" x14ac:dyDescent="0.2">
      <c r="A6" s="1" t="s">
        <v>459</v>
      </c>
      <c r="B6" s="49">
        <f>'Alla priser från butiker'!CD15</f>
        <v>15828.775</v>
      </c>
      <c r="C6" s="31">
        <f>SUM(B6-B15)</f>
        <v>-4765.4250000000011</v>
      </c>
      <c r="D6" s="1"/>
      <c r="F6" s="1" t="s">
        <v>8</v>
      </c>
      <c r="G6" s="4">
        <v>14682.3</v>
      </c>
      <c r="H6" s="1">
        <f>SUM(G6-G13)</f>
        <v>-3595.3500000000022</v>
      </c>
      <c r="I6" s="1"/>
      <c r="K6" s="1" t="s">
        <v>7</v>
      </c>
      <c r="L6" s="4">
        <v>14552</v>
      </c>
      <c r="M6" s="1">
        <f>SUM(L6-L15)</f>
        <v>-3228</v>
      </c>
      <c r="N6" s="1"/>
    </row>
    <row r="7" spans="1:14" x14ac:dyDescent="0.2">
      <c r="A7" s="1" t="s">
        <v>134</v>
      </c>
      <c r="B7" s="50">
        <f>'Alla priser från butiker'!BF15</f>
        <v>15966.900000000001</v>
      </c>
      <c r="C7" s="31">
        <f>SUM(B7-B15)</f>
        <v>-4627.2999999999993</v>
      </c>
      <c r="D7" s="1"/>
      <c r="F7" s="1" t="s">
        <v>5</v>
      </c>
      <c r="G7" s="1">
        <v>15169</v>
      </c>
      <c r="H7" s="1">
        <f>SUM(G7-G13)</f>
        <v>-3108.6500000000015</v>
      </c>
      <c r="I7" s="1"/>
      <c r="K7" s="1" t="s">
        <v>109</v>
      </c>
      <c r="L7" s="4">
        <v>14919</v>
      </c>
      <c r="M7" s="1">
        <f>SUM(L7-L15)</f>
        <v>-2861</v>
      </c>
      <c r="N7" s="1"/>
    </row>
    <row r="8" spans="1:14" x14ac:dyDescent="0.2">
      <c r="A8" s="1" t="s">
        <v>5</v>
      </c>
      <c r="B8" s="49">
        <f>'Alla priser från butiker'!Z15</f>
        <v>16141.6</v>
      </c>
      <c r="C8" s="31">
        <f>SUM(B8-B15)</f>
        <v>-4452.6000000000004</v>
      </c>
      <c r="D8" s="1"/>
      <c r="F8" s="1" t="s">
        <v>110</v>
      </c>
      <c r="G8" s="4">
        <v>15215.89</v>
      </c>
      <c r="H8" s="1">
        <f>SUM(G8-G13)</f>
        <v>-3061.760000000002</v>
      </c>
      <c r="I8" s="1"/>
      <c r="K8" s="1" t="s">
        <v>108</v>
      </c>
      <c r="L8" s="4">
        <v>15095</v>
      </c>
      <c r="M8" s="1">
        <f>SUM(L8-L15)</f>
        <v>-2685</v>
      </c>
      <c r="N8" s="1"/>
    </row>
    <row r="9" spans="1:14" x14ac:dyDescent="0.2">
      <c r="A9" s="1" t="s">
        <v>6</v>
      </c>
      <c r="B9" s="49">
        <f>'Alla priser från butiker'!AH15</f>
        <v>16884.399999999998</v>
      </c>
      <c r="C9" s="31">
        <f>SUM(B9-$B$15)</f>
        <v>-3709.8000000000029</v>
      </c>
      <c r="D9" s="1"/>
      <c r="F9" s="1" t="s">
        <v>134</v>
      </c>
      <c r="G9" s="4">
        <v>15300.15</v>
      </c>
      <c r="H9" s="1">
        <f>SUM(G9-G13)</f>
        <v>-2977.5000000000018</v>
      </c>
      <c r="I9" s="1"/>
      <c r="K9" s="1" t="s">
        <v>5</v>
      </c>
      <c r="L9" s="4">
        <v>15629</v>
      </c>
      <c r="M9" s="1">
        <f>SUM(L9-L15)</f>
        <v>-2151</v>
      </c>
      <c r="N9" s="1"/>
    </row>
    <row r="10" spans="1:14" x14ac:dyDescent="0.2">
      <c r="A10" s="1" t="s">
        <v>110</v>
      </c>
      <c r="B10" s="49">
        <f>'Alla priser från butiker'!BV15</f>
        <v>17056.812500000004</v>
      </c>
      <c r="C10" s="31">
        <f>SUM(B10-$B$15)</f>
        <v>-3537.3874999999971</v>
      </c>
      <c r="D10" s="1"/>
      <c r="F10" s="1" t="s">
        <v>109</v>
      </c>
      <c r="G10" s="4">
        <v>16219.7</v>
      </c>
      <c r="H10" s="1">
        <f>SUM(G10-G13)</f>
        <v>-2057.9500000000007</v>
      </c>
      <c r="I10" s="1"/>
      <c r="K10" s="1" t="s">
        <v>8</v>
      </c>
      <c r="L10" s="4">
        <v>16018</v>
      </c>
      <c r="M10" s="1">
        <f>SUM(L10-L15)</f>
        <v>-1762</v>
      </c>
      <c r="N10" s="1"/>
    </row>
    <row r="11" spans="1:14" x14ac:dyDescent="0.2">
      <c r="A11" s="1" t="s">
        <v>107</v>
      </c>
      <c r="B11" s="49">
        <f>'Alla priser från butiker'!AX15</f>
        <v>17732.620000000003</v>
      </c>
      <c r="C11" s="31">
        <f>SUM(B10-B15)</f>
        <v>-3537.3874999999971</v>
      </c>
      <c r="D11" s="1"/>
      <c r="F11" s="1" t="s">
        <v>107</v>
      </c>
      <c r="G11" s="4">
        <v>16425.599999999999</v>
      </c>
      <c r="H11" s="1">
        <f>SUM(G11-G13)</f>
        <v>-1852.0500000000029</v>
      </c>
      <c r="I11" s="1"/>
      <c r="K11" s="1" t="s">
        <v>110</v>
      </c>
      <c r="L11" s="4">
        <v>16148</v>
      </c>
      <c r="M11" s="1">
        <f>SUM(L11-L15)</f>
        <v>-1632</v>
      </c>
      <c r="N11" s="1"/>
    </row>
    <row r="12" spans="1:14" x14ac:dyDescent="0.2">
      <c r="A12" s="29" t="s">
        <v>7</v>
      </c>
      <c r="B12" s="51">
        <f>'Alla priser från butiker'!AP15</f>
        <v>17800.199999999997</v>
      </c>
      <c r="C12" s="31">
        <f>SUM(B11-B15)</f>
        <v>-2861.5799999999981</v>
      </c>
      <c r="D12" s="1"/>
      <c r="F12" s="1" t="s">
        <v>293</v>
      </c>
      <c r="G12" s="4">
        <v>16890</v>
      </c>
      <c r="H12" s="1">
        <f>SUM(G12-G13)</f>
        <v>-1387.6500000000015</v>
      </c>
      <c r="I12" s="1"/>
      <c r="K12" s="1" t="s">
        <v>107</v>
      </c>
      <c r="L12" s="4">
        <v>17176</v>
      </c>
      <c r="M12" s="1">
        <f>SUM(L12-L15)</f>
        <v>-604</v>
      </c>
      <c r="N12" s="1"/>
    </row>
    <row r="13" spans="1:14" x14ac:dyDescent="0.2">
      <c r="A13" s="46" t="s">
        <v>479</v>
      </c>
      <c r="B13" s="51">
        <f>'Alla priser från butiker'!BN15</f>
        <v>18020.800000000003</v>
      </c>
      <c r="C13" s="30">
        <f>SUM(B12-B15)</f>
        <v>-2794.0000000000036</v>
      </c>
      <c r="D13" s="29"/>
      <c r="F13" s="3" t="s">
        <v>106</v>
      </c>
      <c r="G13" s="14">
        <v>18277.650000000001</v>
      </c>
      <c r="H13" s="3">
        <f>SUM(G13-G13)</f>
        <v>0</v>
      </c>
      <c r="I13" s="3"/>
      <c r="K13" s="1" t="s">
        <v>106</v>
      </c>
      <c r="L13" s="4">
        <v>17606</v>
      </c>
      <c r="M13" s="1">
        <f>SUM(L13-L15)</f>
        <v>-174</v>
      </c>
      <c r="N13" s="1"/>
    </row>
    <row r="14" spans="1:14" x14ac:dyDescent="0.2">
      <c r="A14" s="29" t="s">
        <v>8</v>
      </c>
      <c r="B14" s="51">
        <f>'Alla priser från butiker'!CT15</f>
        <v>18297</v>
      </c>
      <c r="C14" s="30">
        <f>SUM(B14-B15)</f>
        <v>-2297.2000000000007</v>
      </c>
      <c r="D14" s="29"/>
      <c r="F14" s="3" t="s">
        <v>149</v>
      </c>
      <c r="G14" s="14">
        <v>16753</v>
      </c>
      <c r="H14" s="3"/>
      <c r="I14" s="3"/>
      <c r="K14" s="1" t="s">
        <v>111</v>
      </c>
      <c r="L14" s="4">
        <v>17669</v>
      </c>
      <c r="M14" s="1">
        <f>SUM(L14-L15)</f>
        <v>-111</v>
      </c>
      <c r="N14" s="1"/>
    </row>
    <row r="15" spans="1:14" x14ac:dyDescent="0.2">
      <c r="A15" s="73" t="s">
        <v>106</v>
      </c>
      <c r="B15" s="74">
        <f>'Alla priser från butiker'!J15</f>
        <v>20594.2</v>
      </c>
      <c r="C15" s="75">
        <f>SUM(B15-B15)</f>
        <v>0</v>
      </c>
      <c r="D15" s="73"/>
      <c r="F15" s="3" t="s">
        <v>294</v>
      </c>
      <c r="G15" s="14">
        <v>14165.68</v>
      </c>
      <c r="H15" s="3"/>
      <c r="I15" s="3"/>
      <c r="K15" s="3" t="s">
        <v>120</v>
      </c>
      <c r="L15" s="14">
        <v>17780</v>
      </c>
      <c r="M15" s="3">
        <f>SUM(L15-L15)</f>
        <v>0</v>
      </c>
      <c r="N15" s="3"/>
    </row>
    <row r="16" spans="1:14" x14ac:dyDescent="0.2">
      <c r="A16" s="69" t="s">
        <v>203</v>
      </c>
      <c r="B16" s="76">
        <f>SUM(B2:B15)/14</f>
        <v>16511.570535714283</v>
      </c>
      <c r="C16" s="71"/>
      <c r="D16" s="71"/>
      <c r="F16" s="69" t="s">
        <v>203</v>
      </c>
      <c r="G16" s="61">
        <f>SUM(G2:G13)/11</f>
        <v>15231.869090909091</v>
      </c>
      <c r="H16" s="71"/>
      <c r="I16" s="71"/>
      <c r="K16" s="3" t="s">
        <v>149</v>
      </c>
      <c r="L16" s="14">
        <v>16689.2</v>
      </c>
      <c r="M16" s="3"/>
      <c r="N16" s="3"/>
    </row>
    <row r="17" spans="1:14" x14ac:dyDescent="0.2">
      <c r="A17" s="1"/>
      <c r="B17" s="4"/>
      <c r="C17" s="1"/>
      <c r="D17" s="1"/>
      <c r="F17" s="1"/>
      <c r="G17" s="4"/>
      <c r="H17" s="1"/>
      <c r="I17" s="1"/>
      <c r="K17" s="69" t="s">
        <v>203</v>
      </c>
      <c r="L17" s="61">
        <f>SUM(L2:L15)/13</f>
        <v>15677.76923076923</v>
      </c>
      <c r="M17" s="71"/>
      <c r="N17" s="71"/>
    </row>
    <row r="18" spans="1:14" x14ac:dyDescent="0.2">
      <c r="A18" s="66" t="s">
        <v>112</v>
      </c>
      <c r="B18" s="67" t="s">
        <v>152</v>
      </c>
      <c r="C18" s="68"/>
      <c r="D18" s="68"/>
      <c r="F18" s="66" t="s">
        <v>112</v>
      </c>
      <c r="G18" s="67" t="s">
        <v>152</v>
      </c>
      <c r="H18" s="68"/>
      <c r="I18" s="68"/>
      <c r="K18" s="1"/>
      <c r="L18" s="4"/>
      <c r="M18" s="1"/>
      <c r="N18" s="1"/>
    </row>
    <row r="19" spans="1:14" x14ac:dyDescent="0.2">
      <c r="A19" s="16"/>
      <c r="B19" s="17"/>
      <c r="C19" s="16"/>
      <c r="D19" s="16"/>
      <c r="F19" s="16"/>
      <c r="G19" s="17"/>
      <c r="H19" s="16"/>
      <c r="I19" s="16"/>
      <c r="K19" s="66" t="s">
        <v>112</v>
      </c>
      <c r="L19" s="67" t="s">
        <v>152</v>
      </c>
      <c r="M19" s="68"/>
      <c r="N19" s="68"/>
    </row>
    <row r="20" spans="1:14" x14ac:dyDescent="0.2">
      <c r="A20" s="2" t="s">
        <v>461</v>
      </c>
      <c r="B20" s="52">
        <v>620</v>
      </c>
      <c r="C20" s="2">
        <f>SUM(B20-$B$30)</f>
        <v>-1617.5</v>
      </c>
      <c r="D20" s="2"/>
      <c r="F20" s="2" t="s">
        <v>6</v>
      </c>
      <c r="G20" s="13">
        <v>395</v>
      </c>
      <c r="H20" s="2">
        <f>SUM(G20-G32)</f>
        <v>-1305</v>
      </c>
      <c r="I20" s="2"/>
      <c r="K20" s="2" t="s">
        <v>113</v>
      </c>
      <c r="L20" s="13">
        <v>0</v>
      </c>
      <c r="M20" s="2"/>
      <c r="N20" s="2"/>
    </row>
    <row r="21" spans="1:14" x14ac:dyDescent="0.2">
      <c r="A21" s="1" t="s">
        <v>459</v>
      </c>
      <c r="B21" s="53">
        <v>744</v>
      </c>
      <c r="C21" s="1">
        <f>SUM(B21-$B$30)</f>
        <v>-1493.5</v>
      </c>
      <c r="D21" s="1"/>
      <c r="F21" s="1" t="s">
        <v>8</v>
      </c>
      <c r="G21" s="4">
        <v>868</v>
      </c>
      <c r="H21" s="1">
        <f>SUM(G21-G32)</f>
        <v>-832</v>
      </c>
      <c r="I21" s="1"/>
      <c r="K21" s="1" t="s">
        <v>6</v>
      </c>
      <c r="L21" s="4">
        <v>395</v>
      </c>
      <c r="M21" s="1">
        <f>SUM(L21-L33)</f>
        <v>-2042</v>
      </c>
      <c r="N21" s="1"/>
    </row>
    <row r="22" spans="1:14" x14ac:dyDescent="0.2">
      <c r="A22" s="1" t="s">
        <v>463</v>
      </c>
      <c r="B22" s="53">
        <v>799</v>
      </c>
      <c r="C22" s="1">
        <f t="shared" ref="C22:C29" si="0">SUM(B22-$B$30)</f>
        <v>-1438.5</v>
      </c>
      <c r="D22" s="1"/>
      <c r="F22" s="1" t="s">
        <v>110</v>
      </c>
      <c r="G22" s="4">
        <v>869</v>
      </c>
      <c r="H22" s="1">
        <f>SUM(G22-G32)</f>
        <v>-831</v>
      </c>
      <c r="I22" s="1"/>
      <c r="K22" s="1" t="s">
        <v>115</v>
      </c>
      <c r="L22" s="4">
        <v>600</v>
      </c>
      <c r="M22" s="1">
        <f>SUM(L22-L33)</f>
        <v>-1837</v>
      </c>
      <c r="N22" s="1"/>
    </row>
    <row r="23" spans="1:14" x14ac:dyDescent="0.2">
      <c r="A23" s="1" t="s">
        <v>110</v>
      </c>
      <c r="B23" s="53">
        <v>925</v>
      </c>
      <c r="C23" s="1">
        <f t="shared" si="0"/>
        <v>-1312.5</v>
      </c>
      <c r="D23" s="1"/>
      <c r="F23" s="1" t="s">
        <v>109</v>
      </c>
      <c r="G23" s="4">
        <v>895</v>
      </c>
      <c r="H23" s="1">
        <f>SUM(G23-G32)</f>
        <v>-805</v>
      </c>
      <c r="I23" s="1"/>
      <c r="K23" s="1" t="s">
        <v>110</v>
      </c>
      <c r="L23" s="4">
        <v>800</v>
      </c>
      <c r="M23" s="1">
        <f>SUM(L23-L33)</f>
        <v>-1637</v>
      </c>
      <c r="N23" s="1"/>
    </row>
    <row r="24" spans="1:14" x14ac:dyDescent="0.2">
      <c r="A24" s="1" t="s">
        <v>8</v>
      </c>
      <c r="B24" s="53">
        <v>934</v>
      </c>
      <c r="C24" s="1">
        <f t="shared" si="0"/>
        <v>-1303.5</v>
      </c>
      <c r="D24" s="1"/>
      <c r="F24" s="1" t="s">
        <v>5</v>
      </c>
      <c r="G24" s="4">
        <v>900</v>
      </c>
      <c r="H24" s="18">
        <f>SUM(G24-G32)</f>
        <v>-800</v>
      </c>
      <c r="I24" s="1"/>
      <c r="K24" s="1" t="s">
        <v>8</v>
      </c>
      <c r="L24" s="4">
        <v>868</v>
      </c>
      <c r="M24" s="1">
        <f>SUM(L24-L33)</f>
        <v>-1569</v>
      </c>
      <c r="N24" s="1"/>
    </row>
    <row r="25" spans="1:14" x14ac:dyDescent="0.2">
      <c r="A25" s="1" t="s">
        <v>107</v>
      </c>
      <c r="B25" s="53">
        <v>1019</v>
      </c>
      <c r="C25" s="1">
        <f t="shared" si="0"/>
        <v>-1218.5</v>
      </c>
      <c r="D25" s="1"/>
      <c r="F25" s="1" t="s">
        <v>295</v>
      </c>
      <c r="G25" s="4">
        <v>960</v>
      </c>
      <c r="H25" s="1">
        <f>SUM(G25-G32)</f>
        <v>-740</v>
      </c>
      <c r="I25" s="1"/>
      <c r="K25" s="1" t="s">
        <v>109</v>
      </c>
      <c r="L25" s="4">
        <v>895</v>
      </c>
      <c r="M25" s="1">
        <f>SUM(L25-L33)</f>
        <v>-1542</v>
      </c>
      <c r="N25" s="1"/>
    </row>
    <row r="26" spans="1:14" x14ac:dyDescent="0.2">
      <c r="A26" s="1" t="s">
        <v>106</v>
      </c>
      <c r="B26" s="53">
        <v>1195</v>
      </c>
      <c r="C26" s="1">
        <f t="shared" si="0"/>
        <v>-1042.5</v>
      </c>
      <c r="D26" s="1"/>
      <c r="F26" s="1" t="s">
        <v>106</v>
      </c>
      <c r="G26" s="4">
        <v>995</v>
      </c>
      <c r="H26" s="1">
        <f>SUM(G26-G32)</f>
        <v>-705</v>
      </c>
      <c r="I26" s="1"/>
      <c r="K26" s="1" t="s">
        <v>5</v>
      </c>
      <c r="L26" s="4">
        <v>900</v>
      </c>
      <c r="M26" s="1">
        <f>SUM(L26-L33)</f>
        <v>-1537</v>
      </c>
      <c r="N26" s="1"/>
    </row>
    <row r="27" spans="1:14" x14ac:dyDescent="0.2">
      <c r="A27" s="1" t="s">
        <v>6</v>
      </c>
      <c r="B27" s="53">
        <v>1820</v>
      </c>
      <c r="C27" s="1">
        <f t="shared" si="0"/>
        <v>-417.5</v>
      </c>
      <c r="D27" s="1"/>
      <c r="F27" s="1" t="s">
        <v>111</v>
      </c>
      <c r="G27" s="4">
        <v>995</v>
      </c>
      <c r="H27" s="1">
        <f>SUM(G27-G32)</f>
        <v>-705</v>
      </c>
      <c r="I27" s="1"/>
      <c r="K27" s="1" t="s">
        <v>114</v>
      </c>
      <c r="L27" s="4">
        <v>960</v>
      </c>
      <c r="M27" s="1">
        <f>SUM(L27-L33)</f>
        <v>-1477</v>
      </c>
      <c r="N27" s="1"/>
    </row>
    <row r="28" spans="1:14" x14ac:dyDescent="0.2">
      <c r="A28" s="1" t="s">
        <v>460</v>
      </c>
      <c r="B28" s="53">
        <v>1877</v>
      </c>
      <c r="C28" s="1">
        <f t="shared" si="0"/>
        <v>-360.5</v>
      </c>
      <c r="D28" s="1"/>
      <c r="F28" s="1" t="s">
        <v>7</v>
      </c>
      <c r="G28" s="4">
        <v>995</v>
      </c>
      <c r="H28" s="1">
        <f>SUM(G28-G32)</f>
        <v>-705</v>
      </c>
      <c r="I28" s="1"/>
      <c r="K28" s="1"/>
      <c r="L28" s="4"/>
      <c r="M28" s="1"/>
      <c r="N28" s="1"/>
    </row>
    <row r="29" spans="1:14" x14ac:dyDescent="0.2">
      <c r="A29" s="1" t="s">
        <v>291</v>
      </c>
      <c r="B29" s="53">
        <v>2225</v>
      </c>
      <c r="C29" s="1">
        <f t="shared" si="0"/>
        <v>-12.5</v>
      </c>
      <c r="D29" s="1"/>
      <c r="F29" s="1"/>
      <c r="G29" s="4"/>
      <c r="H29" s="1"/>
      <c r="I29" s="1"/>
      <c r="K29" s="1" t="s">
        <v>111</v>
      </c>
      <c r="L29" s="4">
        <v>995</v>
      </c>
      <c r="M29" s="1">
        <f>SUM(L29-L33)</f>
        <v>-1442</v>
      </c>
      <c r="N29" s="1"/>
    </row>
    <row r="30" spans="1:14" x14ac:dyDescent="0.2">
      <c r="A30" s="3" t="s">
        <v>483</v>
      </c>
      <c r="B30" s="54">
        <f>'Alla priser från butiker'!DA16</f>
        <v>2237.5</v>
      </c>
      <c r="C30" s="3">
        <f>SUM(B30-B30)</f>
        <v>0</v>
      </c>
      <c r="D30" s="3"/>
      <c r="F30" s="1" t="s">
        <v>115</v>
      </c>
      <c r="G30" s="4">
        <v>1320</v>
      </c>
      <c r="H30" s="1">
        <f>SUM(G30-G32)</f>
        <v>-380</v>
      </c>
      <c r="I30" s="1"/>
      <c r="K30" s="1" t="s">
        <v>7</v>
      </c>
      <c r="L30" s="4">
        <v>995</v>
      </c>
      <c r="M30" s="1">
        <f>SUM(L30-L33)</f>
        <v>-1442</v>
      </c>
      <c r="N30" s="1"/>
    </row>
    <row r="31" spans="1:14" x14ac:dyDescent="0.2">
      <c r="A31" s="3" t="s">
        <v>5</v>
      </c>
      <c r="B31" s="14"/>
      <c r="C31" s="14" t="s">
        <v>129</v>
      </c>
      <c r="D31" s="3"/>
      <c r="F31" s="1" t="s">
        <v>4</v>
      </c>
      <c r="G31" s="4">
        <v>1500</v>
      </c>
      <c r="H31" s="1">
        <f>SUM(G31-G32)</f>
        <v>-200</v>
      </c>
      <c r="I31" s="1"/>
      <c r="K31" s="1" t="s">
        <v>4</v>
      </c>
      <c r="L31" s="4">
        <v>1500</v>
      </c>
      <c r="M31" s="1">
        <f>SUM(L31-L33)</f>
        <v>-937</v>
      </c>
      <c r="N31" s="1"/>
    </row>
    <row r="32" spans="1:14" x14ac:dyDescent="0.2">
      <c r="A32" s="3" t="s">
        <v>7</v>
      </c>
      <c r="B32" s="14"/>
      <c r="C32" s="14" t="s">
        <v>129</v>
      </c>
      <c r="D32" s="3"/>
      <c r="F32" s="1" t="s">
        <v>291</v>
      </c>
      <c r="G32" s="4">
        <v>1700</v>
      </c>
      <c r="H32" s="1">
        <f>SUM(G32-G32)</f>
        <v>0</v>
      </c>
      <c r="I32" s="1"/>
      <c r="K32" s="1" t="s">
        <v>291</v>
      </c>
      <c r="L32" s="4">
        <v>1700</v>
      </c>
      <c r="M32" s="1">
        <f>SUM(L32-L33)</f>
        <v>-737</v>
      </c>
      <c r="N32" s="1"/>
    </row>
    <row r="33" spans="1:14" x14ac:dyDescent="0.2">
      <c r="A33" s="3" t="s">
        <v>128</v>
      </c>
      <c r="B33" s="14"/>
      <c r="C33" s="14" t="s">
        <v>129</v>
      </c>
      <c r="D33" s="14"/>
      <c r="F33" s="1" t="s">
        <v>128</v>
      </c>
      <c r="G33" s="4"/>
      <c r="H33" s="4" t="s">
        <v>129</v>
      </c>
      <c r="I33" s="4"/>
      <c r="K33" s="3" t="s">
        <v>120</v>
      </c>
      <c r="L33" s="14">
        <v>2437</v>
      </c>
      <c r="M33" s="3">
        <f>SUM(L33-L33)</f>
        <v>0</v>
      </c>
      <c r="N33" s="3"/>
    </row>
    <row r="34" spans="1:14" x14ac:dyDescent="0.2">
      <c r="A34" s="69" t="s">
        <v>204</v>
      </c>
      <c r="B34" s="70">
        <f>SUM(B19:B32)/11</f>
        <v>1308.6818181818182</v>
      </c>
      <c r="C34" s="71"/>
      <c r="D34" s="71"/>
      <c r="F34" s="69" t="s">
        <v>204</v>
      </c>
      <c r="G34" s="61">
        <f>SUM(G19:G32)/12</f>
        <v>1032.6666666666667</v>
      </c>
      <c r="H34" s="71"/>
      <c r="I34" s="71"/>
      <c r="K34" s="3" t="s">
        <v>128</v>
      </c>
      <c r="L34" s="14"/>
      <c r="M34" s="14" t="s">
        <v>129</v>
      </c>
      <c r="N34" s="14"/>
    </row>
    <row r="35" spans="1:14" x14ac:dyDescent="0.2">
      <c r="A35" s="1"/>
      <c r="B35" s="1"/>
      <c r="C35" s="1"/>
      <c r="D35" s="1"/>
      <c r="F35" s="1"/>
      <c r="G35" s="1"/>
      <c r="H35" s="1"/>
      <c r="I35" s="1"/>
      <c r="K35" s="69" t="s">
        <v>204</v>
      </c>
      <c r="L35" s="61">
        <f>SUM(L20:L33)/13</f>
        <v>1003.4615384615385</v>
      </c>
      <c r="M35" s="71"/>
      <c r="N35" s="71"/>
    </row>
    <row r="36" spans="1:14" x14ac:dyDescent="0.2">
      <c r="A36" s="1"/>
      <c r="B36" s="4"/>
      <c r="C36" s="1"/>
      <c r="D36" s="1"/>
      <c r="F36" s="1"/>
      <c r="G36" s="4"/>
      <c r="H36" s="1"/>
      <c r="I36" s="1"/>
      <c r="K36" s="1"/>
      <c r="L36" s="4"/>
      <c r="M36" s="1"/>
      <c r="N36" s="1"/>
    </row>
    <row r="37" spans="1:14" x14ac:dyDescent="0.2">
      <c r="A37" s="66" t="s">
        <v>153</v>
      </c>
      <c r="B37" s="67" t="s">
        <v>152</v>
      </c>
      <c r="C37" s="68"/>
      <c r="D37" s="68"/>
      <c r="F37" s="66" t="s">
        <v>153</v>
      </c>
      <c r="G37" s="67" t="s">
        <v>152</v>
      </c>
      <c r="H37" s="68"/>
      <c r="I37" s="68"/>
      <c r="K37" s="66" t="s">
        <v>153</v>
      </c>
      <c r="L37" s="67" t="s">
        <v>152</v>
      </c>
      <c r="M37" s="68"/>
      <c r="N37" s="68"/>
    </row>
    <row r="38" spans="1:14" x14ac:dyDescent="0.2">
      <c r="A38" s="16"/>
      <c r="B38" s="17"/>
      <c r="C38" s="16"/>
      <c r="D38" s="16"/>
      <c r="F38" s="16"/>
      <c r="G38" s="17"/>
      <c r="H38" s="16"/>
      <c r="I38" s="16"/>
      <c r="K38" s="2" t="s">
        <v>4</v>
      </c>
      <c r="L38" s="13">
        <v>15019</v>
      </c>
      <c r="M38" s="2">
        <f>SUM(L38-L50)</f>
        <v>-5198</v>
      </c>
      <c r="N38" s="2"/>
    </row>
    <row r="39" spans="1:14" x14ac:dyDescent="0.2">
      <c r="A39" s="1"/>
      <c r="B39" s="4"/>
      <c r="C39" s="1"/>
      <c r="D39" s="1"/>
      <c r="F39" s="1"/>
      <c r="G39" s="4"/>
      <c r="H39" s="1"/>
      <c r="I39" s="1"/>
      <c r="K39" s="2"/>
      <c r="L39" s="13"/>
      <c r="M39" s="2"/>
      <c r="N39" s="2"/>
    </row>
    <row r="40" spans="1:14" x14ac:dyDescent="0.2">
      <c r="A40" s="2" t="s">
        <v>291</v>
      </c>
      <c r="B40" s="52">
        <f>'Alla priser från butiker'!CL18</f>
        <v>16264.2</v>
      </c>
      <c r="C40" s="56">
        <f>SUM(B40-B50)</f>
        <v>-5525</v>
      </c>
      <c r="D40" s="2"/>
      <c r="F40" s="2" t="s">
        <v>296</v>
      </c>
      <c r="G40" s="13">
        <v>14502.5</v>
      </c>
      <c r="H40" s="2">
        <f>SUM(G40-G50)</f>
        <v>-4770.1500000000015</v>
      </c>
      <c r="I40" s="2"/>
      <c r="K40" s="1" t="s">
        <v>7</v>
      </c>
      <c r="L40" s="4">
        <v>15547</v>
      </c>
      <c r="M40" s="1">
        <f>SUM(L40-L50)</f>
        <v>-4670</v>
      </c>
      <c r="N40" s="1"/>
    </row>
    <row r="41" spans="1:14" x14ac:dyDescent="0.2">
      <c r="A41" s="1" t="s">
        <v>483</v>
      </c>
      <c r="B41" s="53">
        <f>'Alla priser från butiker'!DA18</f>
        <v>16292.300000000001</v>
      </c>
      <c r="C41" s="45">
        <f>SUM(B41-$B$50)</f>
        <v>-5496.9</v>
      </c>
      <c r="D41" s="1"/>
      <c r="F41" s="2"/>
      <c r="G41" s="13"/>
      <c r="H41" s="2"/>
      <c r="I41" s="2"/>
      <c r="K41" s="1" t="s">
        <v>115</v>
      </c>
      <c r="L41" s="4">
        <v>15694</v>
      </c>
      <c r="M41" s="1">
        <f>SUM(L41-L50)</f>
        <v>-4523</v>
      </c>
      <c r="N41" s="1"/>
    </row>
    <row r="42" spans="1:14" x14ac:dyDescent="0.2">
      <c r="A42" s="1" t="s">
        <v>462</v>
      </c>
      <c r="B42" s="53">
        <f>'Alla priser från butiker'!BF18</f>
        <v>16586.900000000001</v>
      </c>
      <c r="C42" s="45">
        <f>SUM(B42-$B$50)</f>
        <v>-5202.2999999999993</v>
      </c>
      <c r="D42" s="1"/>
      <c r="F42" s="1" t="s">
        <v>4</v>
      </c>
      <c r="G42" s="4">
        <v>14507.7</v>
      </c>
      <c r="H42" s="1">
        <f>SUM(G42-G50)</f>
        <v>-4764.9500000000007</v>
      </c>
      <c r="I42" s="1"/>
      <c r="K42" s="1" t="s">
        <v>109</v>
      </c>
      <c r="L42" s="4">
        <v>15814</v>
      </c>
      <c r="M42" s="1">
        <f>SUM(L42-L50)</f>
        <v>-4403</v>
      </c>
      <c r="N42" s="1"/>
    </row>
    <row r="43" spans="1:14" x14ac:dyDescent="0.2">
      <c r="A43" s="1" t="s">
        <v>460</v>
      </c>
      <c r="B43" s="53">
        <f>'Alla priser från butiker'!R18</f>
        <v>16605.050000000003</v>
      </c>
      <c r="C43" s="45">
        <f>SUM(B43-B50)</f>
        <v>-5184.1499999999978</v>
      </c>
      <c r="D43" s="1"/>
      <c r="F43" s="1" t="s">
        <v>8</v>
      </c>
      <c r="G43" s="4">
        <v>15550.3</v>
      </c>
      <c r="H43" s="1">
        <f>SUM(G43-G50)</f>
        <v>-3722.3500000000022</v>
      </c>
      <c r="I43" s="1"/>
      <c r="K43" s="1" t="s">
        <v>291</v>
      </c>
      <c r="L43" s="4">
        <v>15866</v>
      </c>
      <c r="M43" s="1">
        <f>SUM(L43-L50)</f>
        <v>-4351</v>
      </c>
      <c r="N43" s="1"/>
    </row>
    <row r="44" spans="1:14" x14ac:dyDescent="0.2">
      <c r="A44" s="1" t="s">
        <v>459</v>
      </c>
      <c r="B44" s="53">
        <f>'Alla priser från butiker'!CD18</f>
        <v>16572.775000000001</v>
      </c>
      <c r="C44" s="45">
        <f>SUM(B44-B50)</f>
        <v>-5216.4249999999993</v>
      </c>
      <c r="D44" s="1"/>
      <c r="F44" s="1" t="s">
        <v>5</v>
      </c>
      <c r="G44" s="4">
        <v>16069</v>
      </c>
      <c r="H44" s="1">
        <f>SUM(G44-G50)</f>
        <v>-3203.6500000000015</v>
      </c>
      <c r="I44" s="1"/>
      <c r="K44" s="1" t="s">
        <v>5</v>
      </c>
      <c r="L44" s="4">
        <v>16529</v>
      </c>
      <c r="M44" s="1">
        <f>SUM(L44-L50)</f>
        <v>-3688</v>
      </c>
      <c r="N44" s="1"/>
    </row>
    <row r="45" spans="1:14" x14ac:dyDescent="0.2">
      <c r="A45" s="1" t="s">
        <v>110</v>
      </c>
      <c r="B45" s="53">
        <f>'Alla priser från butiker'!BV18</f>
        <v>17981.812500000004</v>
      </c>
      <c r="C45" s="45">
        <f>SUM(B45-B50)</f>
        <v>-3807.3874999999971</v>
      </c>
      <c r="D45" s="1"/>
      <c r="F45" s="1" t="s">
        <v>110</v>
      </c>
      <c r="G45" s="4">
        <v>16084.89</v>
      </c>
      <c r="H45" s="1">
        <f>SUM(G45-G50)</f>
        <v>-3187.760000000002</v>
      </c>
      <c r="I45" s="1"/>
      <c r="K45" s="1" t="s">
        <v>8</v>
      </c>
      <c r="L45" s="4">
        <v>16886</v>
      </c>
      <c r="M45" s="1">
        <f>SUM(L45-L50)</f>
        <v>-3331</v>
      </c>
      <c r="N45" s="1"/>
    </row>
    <row r="46" spans="1:14" x14ac:dyDescent="0.2">
      <c r="A46" s="1" t="s">
        <v>6</v>
      </c>
      <c r="B46" s="53">
        <f>'Alla priser från butiker'!AH18</f>
        <v>18704.399999999998</v>
      </c>
      <c r="C46" s="45">
        <f>SUM(B46-B50)</f>
        <v>-3084.8000000000029</v>
      </c>
      <c r="D46" s="1"/>
      <c r="F46" s="1" t="s">
        <v>115</v>
      </c>
      <c r="G46" s="4">
        <v>16620.150000000001</v>
      </c>
      <c r="H46" s="1">
        <f>SUM(G46-G50)</f>
        <v>-2652.5</v>
      </c>
      <c r="I46" s="1"/>
      <c r="K46" s="1" t="s">
        <v>110</v>
      </c>
      <c r="L46" s="4">
        <v>16948</v>
      </c>
      <c r="M46" s="1">
        <f>SUM(L46-L50)</f>
        <v>-3269</v>
      </c>
      <c r="N46" s="1"/>
    </row>
    <row r="47" spans="1:14" x14ac:dyDescent="0.2">
      <c r="A47" s="1" t="s">
        <v>479</v>
      </c>
      <c r="B47" s="53">
        <f>'Alla priser från butiker'!BN18</f>
        <v>18819.800000000003</v>
      </c>
      <c r="C47" s="45">
        <f>SUM(B47-B50)</f>
        <v>-2969.3999999999978</v>
      </c>
      <c r="D47" s="1"/>
      <c r="F47" s="1" t="s">
        <v>109</v>
      </c>
      <c r="G47" s="4">
        <v>17114.7</v>
      </c>
      <c r="H47" s="1">
        <f>SUM(G47-G50)</f>
        <v>-2157.9500000000007</v>
      </c>
      <c r="I47" s="1"/>
      <c r="K47" s="1" t="s">
        <v>106</v>
      </c>
      <c r="L47" s="4">
        <v>17606</v>
      </c>
      <c r="M47" s="1">
        <f>SUM(L47-L50)</f>
        <v>-2611</v>
      </c>
      <c r="N47" s="1"/>
    </row>
    <row r="48" spans="1:14" x14ac:dyDescent="0.2">
      <c r="A48" s="1" t="s">
        <v>107</v>
      </c>
      <c r="B48" s="53">
        <f>'Alla priser från butiker'!AX18</f>
        <v>18851.620000000003</v>
      </c>
      <c r="C48" s="45">
        <f>SUM(B48-B50)</f>
        <v>-2937.5799999999981</v>
      </c>
      <c r="D48" s="1"/>
      <c r="F48" s="1" t="s">
        <v>114</v>
      </c>
      <c r="G48" s="4">
        <v>17385.599999999999</v>
      </c>
      <c r="H48" s="1">
        <f>SUM(G48-G50)</f>
        <v>-1887.0500000000029</v>
      </c>
      <c r="I48" s="1"/>
      <c r="K48" s="1" t="s">
        <v>114</v>
      </c>
      <c r="L48" s="4">
        <v>18136</v>
      </c>
      <c r="M48" s="1">
        <f>SUM(L48-L50)</f>
        <v>-2081</v>
      </c>
      <c r="N48" s="1"/>
    </row>
    <row r="49" spans="1:14" x14ac:dyDescent="0.2">
      <c r="A49" s="1" t="s">
        <v>8</v>
      </c>
      <c r="B49" s="53">
        <f>'Alla priser från butiker'!CT18</f>
        <v>19231</v>
      </c>
      <c r="C49" s="45">
        <f>SUM(B49-B50)</f>
        <v>-2558.2000000000007</v>
      </c>
      <c r="D49" s="1"/>
      <c r="F49" s="1" t="s">
        <v>7</v>
      </c>
      <c r="G49" s="4">
        <v>17885</v>
      </c>
      <c r="H49" s="1">
        <f>SUM(G49-G50)</f>
        <v>-1387.6500000000015</v>
      </c>
      <c r="I49" s="1"/>
      <c r="K49" s="1" t="s">
        <v>111</v>
      </c>
      <c r="L49" s="4">
        <v>18664</v>
      </c>
      <c r="M49" s="1">
        <f>SUM(L49-L50)</f>
        <v>-1553</v>
      </c>
      <c r="N49" s="1"/>
    </row>
    <row r="50" spans="1:14" x14ac:dyDescent="0.2">
      <c r="A50" s="3" t="s">
        <v>106</v>
      </c>
      <c r="B50" s="54">
        <f>'Alla priser från butiker'!J18</f>
        <v>21789.200000000001</v>
      </c>
      <c r="C50" s="3">
        <f>SUM(B50-B50)</f>
        <v>0</v>
      </c>
      <c r="D50" s="3"/>
      <c r="F50" s="3" t="s">
        <v>106</v>
      </c>
      <c r="G50" s="14">
        <v>19272.650000000001</v>
      </c>
      <c r="H50" s="3">
        <f>SUM(G50-G50)</f>
        <v>0</v>
      </c>
      <c r="I50" s="3"/>
      <c r="K50" s="3" t="s">
        <v>120</v>
      </c>
      <c r="L50" s="14">
        <v>20217</v>
      </c>
      <c r="M50" s="3">
        <f>SUM(L50-L50)</f>
        <v>0</v>
      </c>
      <c r="N50" s="3"/>
    </row>
    <row r="51" spans="1:14" x14ac:dyDescent="0.2">
      <c r="A51" s="3" t="s">
        <v>7</v>
      </c>
      <c r="B51" s="54">
        <f>'Alla priser från butiker'!AP15</f>
        <v>17800.199999999997</v>
      </c>
      <c r="C51" s="14" t="s">
        <v>129</v>
      </c>
      <c r="D51" s="3"/>
      <c r="F51" s="3" t="s">
        <v>149</v>
      </c>
      <c r="G51" s="14">
        <v>17148</v>
      </c>
      <c r="H51" s="3"/>
      <c r="I51" s="3"/>
      <c r="K51" s="3" t="s">
        <v>149</v>
      </c>
      <c r="L51" s="14">
        <v>17840</v>
      </c>
      <c r="M51" s="3"/>
      <c r="N51" s="3"/>
    </row>
    <row r="52" spans="1:14" x14ac:dyDescent="0.2">
      <c r="A52" s="3" t="s">
        <v>125</v>
      </c>
      <c r="B52" s="54">
        <f>'Alla priser från butiker'!DI15</f>
        <v>14041.630000000001</v>
      </c>
      <c r="C52" s="14" t="s">
        <v>129</v>
      </c>
      <c r="D52" s="3"/>
      <c r="F52" s="3" t="s">
        <v>151</v>
      </c>
      <c r="G52" s="14">
        <v>12855.07</v>
      </c>
      <c r="H52" s="3" t="s">
        <v>129</v>
      </c>
      <c r="I52" s="3"/>
      <c r="K52" s="3" t="s">
        <v>151</v>
      </c>
      <c r="L52" s="14">
        <v>13534</v>
      </c>
      <c r="M52" s="3" t="s">
        <v>129</v>
      </c>
      <c r="N52" s="3"/>
    </row>
    <row r="53" spans="1:14" x14ac:dyDescent="0.2">
      <c r="A53" s="3" t="s">
        <v>5</v>
      </c>
      <c r="B53" s="55">
        <f>'Alla priser från butiker'!Z15</f>
        <v>16141.6</v>
      </c>
      <c r="C53" s="14" t="s">
        <v>129</v>
      </c>
      <c r="D53" s="3"/>
      <c r="F53" s="3" t="s">
        <v>294</v>
      </c>
      <c r="G53" s="3">
        <v>14502.5</v>
      </c>
      <c r="H53" s="3"/>
      <c r="I53" s="3"/>
      <c r="K53" s="69" t="s">
        <v>224</v>
      </c>
      <c r="L53" s="61">
        <f>SUM(L38:L50)/12</f>
        <v>16910.5</v>
      </c>
      <c r="M53" s="71"/>
      <c r="N53" s="71"/>
    </row>
    <row r="54" spans="1:14" x14ac:dyDescent="0.2">
      <c r="A54" s="69" t="s">
        <v>224</v>
      </c>
      <c r="B54" s="72">
        <f>SUM(B40:B50)/11</f>
        <v>17972.64159090909</v>
      </c>
      <c r="C54" s="71"/>
      <c r="D54" s="71"/>
      <c r="F54" s="69" t="s">
        <v>224</v>
      </c>
      <c r="G54" s="61">
        <f>SUM(G38:G50)/10</f>
        <v>16499.249</v>
      </c>
      <c r="H54" s="71"/>
      <c r="I54" s="71"/>
    </row>
    <row r="55" spans="1:14" x14ac:dyDescent="0.2">
      <c r="K55" s="9" t="s">
        <v>226</v>
      </c>
      <c r="L55" s="9"/>
      <c r="M55" s="9"/>
      <c r="N55" s="9"/>
    </row>
    <row r="56" spans="1:14" x14ac:dyDescent="0.2">
      <c r="K56" s="9" t="s">
        <v>225</v>
      </c>
      <c r="L56" s="9"/>
      <c r="M56" s="9"/>
      <c r="N56" s="9"/>
    </row>
    <row r="57" spans="1:14" x14ac:dyDescent="0.2">
      <c r="K57" s="9" t="s">
        <v>150</v>
      </c>
      <c r="L57" s="9"/>
      <c r="M57" s="9"/>
      <c r="N57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85D29-99D7-8143-8FBC-8B921E4CE34D}">
  <dimension ref="A1:G51"/>
  <sheetViews>
    <sheetView workbookViewId="0">
      <selection activeCell="A41" sqref="A41"/>
    </sheetView>
  </sheetViews>
  <sheetFormatPr baseColWidth="10" defaultRowHeight="16" x14ac:dyDescent="0.2"/>
  <cols>
    <col min="1" max="1" width="33.6640625" customWidth="1"/>
    <col min="2" max="2" width="19" style="65" customWidth="1"/>
    <col min="3" max="3" width="23.6640625" style="65" customWidth="1"/>
  </cols>
  <sheetData>
    <row r="1" spans="1:7" x14ac:dyDescent="0.2">
      <c r="A1" s="57" t="s">
        <v>312</v>
      </c>
      <c r="B1" s="64"/>
      <c r="C1" s="64"/>
      <c r="D1" s="58"/>
      <c r="E1" s="58"/>
      <c r="F1" s="58"/>
      <c r="G1" s="58"/>
    </row>
    <row r="2" spans="1:7" x14ac:dyDescent="0.2">
      <c r="A2" s="59" t="s">
        <v>131</v>
      </c>
      <c r="B2" s="60"/>
      <c r="C2" s="60" t="s">
        <v>132</v>
      </c>
      <c r="D2" s="60"/>
      <c r="E2" s="60" t="s">
        <v>1</v>
      </c>
      <c r="F2" s="60"/>
      <c r="G2" s="60" t="s">
        <v>3</v>
      </c>
    </row>
    <row r="3" spans="1:7" x14ac:dyDescent="0.2">
      <c r="A3" s="5" t="s">
        <v>43</v>
      </c>
      <c r="B3" s="6" t="s">
        <v>42</v>
      </c>
      <c r="C3" s="7" t="s">
        <v>4</v>
      </c>
      <c r="D3" s="7"/>
      <c r="E3" s="7" t="s">
        <v>135</v>
      </c>
      <c r="F3" s="7"/>
      <c r="G3" s="6">
        <v>4099</v>
      </c>
    </row>
    <row r="4" spans="1:7" x14ac:dyDescent="0.2">
      <c r="A4" s="5" t="s">
        <v>46</v>
      </c>
      <c r="B4" s="7" t="s">
        <v>45</v>
      </c>
      <c r="C4" s="7" t="s">
        <v>133</v>
      </c>
      <c r="D4" s="7"/>
      <c r="E4" s="7" t="s">
        <v>136</v>
      </c>
      <c r="F4" s="7"/>
      <c r="G4" s="6">
        <v>582</v>
      </c>
    </row>
    <row r="5" spans="1:7" x14ac:dyDescent="0.2">
      <c r="A5" s="5"/>
      <c r="B5" s="6"/>
      <c r="C5" s="4"/>
      <c r="D5" s="1"/>
      <c r="E5" s="1"/>
      <c r="F5" s="1"/>
      <c r="G5" s="6"/>
    </row>
    <row r="6" spans="1:7" x14ac:dyDescent="0.2">
      <c r="A6" s="5" t="s">
        <v>11</v>
      </c>
      <c r="B6" s="6" t="s">
        <v>12</v>
      </c>
      <c r="C6" s="7" t="s">
        <v>134</v>
      </c>
      <c r="D6" s="7"/>
      <c r="E6" s="6" t="s">
        <v>72</v>
      </c>
      <c r="F6" s="6"/>
      <c r="G6" s="6">
        <v>4318</v>
      </c>
    </row>
    <row r="7" spans="1:7" x14ac:dyDescent="0.2">
      <c r="A7" s="5" t="s">
        <v>121</v>
      </c>
      <c r="B7" s="6" t="s">
        <v>13</v>
      </c>
      <c r="C7" s="7" t="s">
        <v>120</v>
      </c>
      <c r="D7" s="7"/>
      <c r="E7" s="7" t="s">
        <v>137</v>
      </c>
      <c r="F7" s="7"/>
      <c r="G7" s="6">
        <v>200</v>
      </c>
    </row>
    <row r="8" spans="1:7" x14ac:dyDescent="0.2">
      <c r="A8" s="8" t="s">
        <v>157</v>
      </c>
      <c r="B8" s="6" t="s">
        <v>16</v>
      </c>
      <c r="C8" s="7" t="s">
        <v>106</v>
      </c>
      <c r="D8" s="7"/>
      <c r="E8" s="11" t="s">
        <v>138</v>
      </c>
      <c r="F8" s="11"/>
      <c r="G8" s="10">
        <v>640.79999999999995</v>
      </c>
    </row>
    <row r="9" spans="1:7" x14ac:dyDescent="0.2">
      <c r="A9" s="5" t="s">
        <v>122</v>
      </c>
      <c r="B9" s="6" t="s">
        <v>19</v>
      </c>
      <c r="C9" s="7" t="s">
        <v>107</v>
      </c>
      <c r="D9" s="7"/>
      <c r="E9" s="4" t="s">
        <v>468</v>
      </c>
      <c r="F9" s="4"/>
      <c r="G9" s="4">
        <v>496.7</v>
      </c>
    </row>
    <row r="10" spans="1:7" x14ac:dyDescent="0.2">
      <c r="A10" s="5"/>
      <c r="B10" s="6"/>
      <c r="C10" s="6"/>
      <c r="D10" s="6"/>
      <c r="E10" s="10"/>
      <c r="F10" s="10"/>
      <c r="G10" s="10"/>
    </row>
    <row r="11" spans="1:7" x14ac:dyDescent="0.2">
      <c r="A11" s="5" t="s">
        <v>31</v>
      </c>
      <c r="B11" s="6" t="s">
        <v>33</v>
      </c>
      <c r="C11" s="7" t="s">
        <v>291</v>
      </c>
      <c r="D11" s="7"/>
      <c r="E11" s="4" t="s">
        <v>141</v>
      </c>
      <c r="F11" s="4"/>
      <c r="G11" s="4">
        <v>1476</v>
      </c>
    </row>
    <row r="12" spans="1:7" x14ac:dyDescent="0.2">
      <c r="A12" s="5" t="s">
        <v>123</v>
      </c>
      <c r="B12" s="6" t="s">
        <v>33</v>
      </c>
      <c r="C12" s="7" t="s">
        <v>7</v>
      </c>
      <c r="D12" s="7"/>
      <c r="E12" s="4" t="s">
        <v>145</v>
      </c>
      <c r="F12" s="4"/>
      <c r="G12" s="4">
        <v>432</v>
      </c>
    </row>
    <row r="13" spans="1:7" x14ac:dyDescent="0.2">
      <c r="A13" s="8" t="s">
        <v>146</v>
      </c>
      <c r="B13" s="6" t="s">
        <v>39</v>
      </c>
      <c r="C13" s="7" t="s">
        <v>7</v>
      </c>
      <c r="D13" s="7"/>
      <c r="E13" s="4" t="s">
        <v>58</v>
      </c>
      <c r="F13" s="4"/>
      <c r="G13" s="4">
        <v>110</v>
      </c>
    </row>
    <row r="14" spans="1:7" x14ac:dyDescent="0.2">
      <c r="A14" s="5"/>
      <c r="B14" s="6"/>
      <c r="C14" s="6"/>
      <c r="D14" s="6"/>
      <c r="E14" s="6"/>
      <c r="F14" s="6"/>
      <c r="G14" s="6"/>
    </row>
    <row r="15" spans="1:7" x14ac:dyDescent="0.2">
      <c r="A15" s="62"/>
      <c r="B15" s="62"/>
      <c r="C15" s="63" t="s">
        <v>91</v>
      </c>
      <c r="D15" s="63"/>
      <c r="E15" s="63"/>
      <c r="F15" s="63"/>
      <c r="G15" s="63">
        <f>SUM(G3:G14)</f>
        <v>12354.5</v>
      </c>
    </row>
    <row r="16" spans="1:7" x14ac:dyDescent="0.2">
      <c r="A16" s="4"/>
      <c r="B16" s="4"/>
      <c r="C16" s="12"/>
      <c r="D16" s="12"/>
      <c r="E16" s="12"/>
      <c r="F16" s="12"/>
      <c r="G16" s="12"/>
    </row>
    <row r="19" spans="1:7" x14ac:dyDescent="0.2">
      <c r="A19" s="57" t="s">
        <v>298</v>
      </c>
      <c r="B19" s="64"/>
      <c r="C19" s="64"/>
      <c r="D19" s="58"/>
      <c r="E19" s="58"/>
      <c r="F19" s="58"/>
      <c r="G19" s="58"/>
    </row>
    <row r="20" spans="1:7" x14ac:dyDescent="0.2">
      <c r="A20" s="59" t="s">
        <v>131</v>
      </c>
      <c r="B20" s="60"/>
      <c r="C20" s="60" t="s">
        <v>132</v>
      </c>
      <c r="D20" s="60"/>
      <c r="E20" s="60" t="s">
        <v>1</v>
      </c>
      <c r="F20" s="60"/>
      <c r="G20" s="60" t="s">
        <v>3</v>
      </c>
    </row>
    <row r="21" spans="1:7" x14ac:dyDescent="0.2">
      <c r="A21" s="5" t="s">
        <v>43</v>
      </c>
      <c r="B21" s="6" t="s">
        <v>42</v>
      </c>
      <c r="C21" s="7" t="s">
        <v>296</v>
      </c>
      <c r="D21" s="7"/>
      <c r="E21" s="7" t="s">
        <v>297</v>
      </c>
      <c r="F21" s="7"/>
      <c r="G21" s="6">
        <v>3712.5</v>
      </c>
    </row>
    <row r="22" spans="1:7" x14ac:dyDescent="0.2">
      <c r="A22" s="5" t="s">
        <v>46</v>
      </c>
      <c r="B22" s="7" t="s">
        <v>45</v>
      </c>
      <c r="C22" s="7" t="s">
        <v>291</v>
      </c>
      <c r="D22" s="7"/>
      <c r="E22" s="7" t="s">
        <v>299</v>
      </c>
      <c r="F22" s="7"/>
      <c r="G22" s="6">
        <v>328</v>
      </c>
    </row>
    <row r="23" spans="1:7" x14ac:dyDescent="0.2">
      <c r="A23" s="5"/>
      <c r="B23" s="6"/>
      <c r="C23" s="4"/>
      <c r="D23" s="1"/>
      <c r="E23" s="1"/>
      <c r="F23" s="1"/>
      <c r="G23" s="6"/>
    </row>
    <row r="24" spans="1:7" x14ac:dyDescent="0.2">
      <c r="A24" s="5" t="s">
        <v>11</v>
      </c>
      <c r="B24" s="6" t="s">
        <v>12</v>
      </c>
      <c r="C24" s="7" t="s">
        <v>134</v>
      </c>
      <c r="D24" s="7"/>
      <c r="E24" s="7" t="s">
        <v>300</v>
      </c>
      <c r="F24" s="6"/>
      <c r="G24" s="6">
        <v>4250.3999999999996</v>
      </c>
    </row>
    <row r="25" spans="1:7" x14ac:dyDescent="0.2">
      <c r="A25" s="5" t="s">
        <v>121</v>
      </c>
      <c r="B25" s="6" t="s">
        <v>13</v>
      </c>
      <c r="C25" s="7" t="s">
        <v>5</v>
      </c>
      <c r="D25" s="7"/>
      <c r="E25" s="7" t="s">
        <v>301</v>
      </c>
      <c r="F25" s="7"/>
      <c r="G25" s="6">
        <v>151.6</v>
      </c>
    </row>
    <row r="26" spans="1:7" x14ac:dyDescent="0.2">
      <c r="A26" s="8" t="s">
        <v>157</v>
      </c>
      <c r="B26" s="6" t="s">
        <v>16</v>
      </c>
      <c r="C26" s="7" t="s">
        <v>110</v>
      </c>
      <c r="D26" s="7"/>
      <c r="E26" s="11" t="s">
        <v>302</v>
      </c>
      <c r="F26" s="11"/>
      <c r="G26" s="10">
        <v>403.92</v>
      </c>
    </row>
    <row r="27" spans="1:7" x14ac:dyDescent="0.2">
      <c r="A27" s="5" t="s">
        <v>122</v>
      </c>
      <c r="B27" s="6" t="s">
        <v>19</v>
      </c>
      <c r="C27" s="7" t="s">
        <v>291</v>
      </c>
      <c r="D27" s="7"/>
      <c r="E27" s="4" t="s">
        <v>303</v>
      </c>
      <c r="F27" s="4"/>
      <c r="G27" s="4">
        <v>389</v>
      </c>
    </row>
    <row r="28" spans="1:7" x14ac:dyDescent="0.2">
      <c r="A28" s="5"/>
      <c r="B28" s="6"/>
      <c r="C28" s="6"/>
      <c r="D28" s="6"/>
      <c r="E28" s="10"/>
      <c r="F28" s="10"/>
      <c r="G28" s="10"/>
    </row>
    <row r="29" spans="1:7" x14ac:dyDescent="0.2">
      <c r="A29" s="5" t="s">
        <v>31</v>
      </c>
      <c r="B29" s="6" t="s">
        <v>33</v>
      </c>
      <c r="C29" s="7" t="s">
        <v>6</v>
      </c>
      <c r="D29" s="7"/>
      <c r="E29" s="4" t="s">
        <v>304</v>
      </c>
      <c r="F29" s="4"/>
      <c r="G29" s="4">
        <v>1687.5</v>
      </c>
    </row>
    <row r="30" spans="1:7" x14ac:dyDescent="0.2">
      <c r="A30" s="5" t="s">
        <v>123</v>
      </c>
      <c r="B30" s="6" t="s">
        <v>33</v>
      </c>
      <c r="C30" s="7" t="s">
        <v>305</v>
      </c>
      <c r="D30" s="7"/>
      <c r="E30" s="4" t="s">
        <v>144</v>
      </c>
      <c r="F30" s="4"/>
      <c r="G30" s="4">
        <v>540</v>
      </c>
    </row>
    <row r="31" spans="1:7" x14ac:dyDescent="0.2">
      <c r="A31" s="8" t="s">
        <v>146</v>
      </c>
      <c r="B31" s="6" t="s">
        <v>39</v>
      </c>
      <c r="C31" s="7" t="s">
        <v>166</v>
      </c>
      <c r="D31" s="7"/>
      <c r="E31" s="4" t="s">
        <v>306</v>
      </c>
      <c r="F31" s="4"/>
      <c r="G31" s="4">
        <v>89</v>
      </c>
    </row>
    <row r="32" spans="1:7" x14ac:dyDescent="0.2">
      <c r="A32" s="5"/>
      <c r="B32" s="6"/>
      <c r="C32" s="6"/>
      <c r="D32" s="6"/>
      <c r="E32" s="6"/>
      <c r="F32" s="6"/>
      <c r="G32" s="6"/>
    </row>
    <row r="33" spans="1:7" x14ac:dyDescent="0.2">
      <c r="A33" s="62"/>
      <c r="B33" s="62"/>
      <c r="C33" s="63" t="s">
        <v>91</v>
      </c>
      <c r="D33" s="63"/>
      <c r="E33" s="63"/>
      <c r="F33" s="63"/>
      <c r="G33" s="63">
        <f>SUM(G21:G32)</f>
        <v>11551.92</v>
      </c>
    </row>
    <row r="34" spans="1:7" x14ac:dyDescent="0.2">
      <c r="A34" s="4"/>
      <c r="B34" s="4"/>
      <c r="C34" s="12"/>
      <c r="D34" s="12"/>
      <c r="E34" s="12"/>
      <c r="F34" s="12"/>
      <c r="G34" s="12"/>
    </row>
    <row r="36" spans="1:7" x14ac:dyDescent="0.2">
      <c r="A36" s="57" t="s">
        <v>313</v>
      </c>
      <c r="B36" s="64"/>
      <c r="C36" s="64"/>
      <c r="D36" s="58"/>
      <c r="E36" s="58"/>
      <c r="F36" s="58"/>
      <c r="G36" s="58"/>
    </row>
    <row r="37" spans="1:7" x14ac:dyDescent="0.2">
      <c r="A37" s="59" t="s">
        <v>131</v>
      </c>
      <c r="B37" s="60"/>
      <c r="C37" s="60" t="s">
        <v>132</v>
      </c>
      <c r="D37" s="60"/>
      <c r="E37" s="60" t="s">
        <v>1</v>
      </c>
      <c r="F37" s="60"/>
      <c r="G37" s="60" t="s">
        <v>3</v>
      </c>
    </row>
    <row r="38" spans="1:7" x14ac:dyDescent="0.2">
      <c r="A38" s="5" t="s">
        <v>43</v>
      </c>
      <c r="B38" s="6">
        <v>412</v>
      </c>
      <c r="C38" s="7" t="s">
        <v>480</v>
      </c>
      <c r="D38" s="7"/>
      <c r="E38" s="7">
        <v>11.8</v>
      </c>
      <c r="F38" s="7" t="s">
        <v>481</v>
      </c>
      <c r="G38" s="6">
        <f>E38*B38</f>
        <v>4861.6000000000004</v>
      </c>
    </row>
    <row r="39" spans="1:7" x14ac:dyDescent="0.2">
      <c r="A39" s="8" t="s">
        <v>46</v>
      </c>
      <c r="B39" s="7">
        <v>1500</v>
      </c>
      <c r="C39" s="7" t="s">
        <v>107</v>
      </c>
      <c r="D39" s="7"/>
      <c r="E39" s="7">
        <v>0.38</v>
      </c>
      <c r="F39" s="7" t="s">
        <v>482</v>
      </c>
      <c r="G39" s="6">
        <f>E39*B39</f>
        <v>570</v>
      </c>
    </row>
    <row r="40" spans="1:7" x14ac:dyDescent="0.2">
      <c r="A40" s="5"/>
      <c r="B40" s="6"/>
      <c r="C40" s="4"/>
      <c r="D40" s="1"/>
      <c r="E40" s="1"/>
      <c r="F40" s="1"/>
      <c r="G40" s="6"/>
    </row>
    <row r="41" spans="1:7" x14ac:dyDescent="0.2">
      <c r="A41" s="8" t="s">
        <v>484</v>
      </c>
      <c r="B41" s="6">
        <v>138</v>
      </c>
      <c r="C41" s="7" t="s">
        <v>483</v>
      </c>
      <c r="D41" s="7"/>
      <c r="E41" s="7">
        <v>30</v>
      </c>
      <c r="F41" s="7" t="s">
        <v>481</v>
      </c>
      <c r="G41" s="6">
        <f>B41*E41</f>
        <v>4140</v>
      </c>
    </row>
    <row r="42" spans="1:7" x14ac:dyDescent="0.2">
      <c r="A42" s="5" t="s">
        <v>121</v>
      </c>
      <c r="B42" s="6">
        <v>8</v>
      </c>
      <c r="C42" s="7" t="s">
        <v>291</v>
      </c>
      <c r="D42" s="7"/>
      <c r="E42" s="7">
        <v>13</v>
      </c>
      <c r="F42" s="7" t="s">
        <v>482</v>
      </c>
      <c r="G42" s="6">
        <f>E42*B42</f>
        <v>104</v>
      </c>
    </row>
    <row r="43" spans="1:7" x14ac:dyDescent="0.2">
      <c r="A43" s="8" t="s">
        <v>157</v>
      </c>
      <c r="B43" s="6">
        <v>72</v>
      </c>
      <c r="C43" s="7" t="s">
        <v>107</v>
      </c>
      <c r="D43" s="7"/>
      <c r="E43" s="11">
        <v>4.95</v>
      </c>
      <c r="F43" s="11" t="s">
        <v>482</v>
      </c>
      <c r="G43" s="10">
        <v>356.4</v>
      </c>
    </row>
    <row r="44" spans="1:7" x14ac:dyDescent="0.2">
      <c r="A44" s="5" t="s">
        <v>122</v>
      </c>
      <c r="B44" s="6">
        <v>1000</v>
      </c>
      <c r="C44" s="7" t="s">
        <v>483</v>
      </c>
      <c r="D44" s="7"/>
      <c r="E44" s="4">
        <v>0.43</v>
      </c>
      <c r="F44" s="4" t="s">
        <v>482</v>
      </c>
      <c r="G44" s="4">
        <f>E44*B44</f>
        <v>430</v>
      </c>
    </row>
    <row r="45" spans="1:7" x14ac:dyDescent="0.2">
      <c r="A45" s="5"/>
      <c r="B45" s="6"/>
      <c r="C45" s="6"/>
      <c r="D45" s="6"/>
      <c r="E45" s="10"/>
      <c r="F45" s="10"/>
      <c r="G45" s="10"/>
    </row>
    <row r="46" spans="1:7" x14ac:dyDescent="0.2">
      <c r="A46" s="8" t="s">
        <v>31</v>
      </c>
      <c r="B46" s="6">
        <v>18</v>
      </c>
      <c r="C46" s="7" t="s">
        <v>466</v>
      </c>
      <c r="D46" s="7"/>
      <c r="E46" s="4">
        <v>71.2</v>
      </c>
      <c r="F46" s="4" t="s">
        <v>482</v>
      </c>
      <c r="G46" s="44">
        <f>B46*E46</f>
        <v>1281.6000000000001</v>
      </c>
    </row>
    <row r="47" spans="1:7" x14ac:dyDescent="0.2">
      <c r="A47" s="5" t="s">
        <v>123</v>
      </c>
      <c r="B47" s="6">
        <v>18</v>
      </c>
      <c r="C47" s="7" t="s">
        <v>469</v>
      </c>
      <c r="D47" s="7"/>
      <c r="E47" s="4">
        <v>29.95</v>
      </c>
      <c r="F47" s="4" t="s">
        <v>482</v>
      </c>
      <c r="G47" s="4">
        <f>E47*B47</f>
        <v>539.1</v>
      </c>
    </row>
    <row r="48" spans="1:7" x14ac:dyDescent="0.2">
      <c r="A48" s="8" t="s">
        <v>146</v>
      </c>
      <c r="B48" s="6">
        <v>100</v>
      </c>
      <c r="C48" s="7" t="s">
        <v>4</v>
      </c>
      <c r="D48" s="7"/>
      <c r="E48" s="4">
        <v>0.9</v>
      </c>
      <c r="F48" s="4" t="s">
        <v>482</v>
      </c>
      <c r="G48" s="4">
        <f>E48*B48</f>
        <v>90</v>
      </c>
    </row>
    <row r="49" spans="1:7" x14ac:dyDescent="0.2">
      <c r="A49" s="5"/>
      <c r="B49" s="6"/>
      <c r="C49" s="6"/>
      <c r="D49" s="6"/>
      <c r="E49" s="6"/>
      <c r="F49" s="6"/>
      <c r="G49" s="6"/>
    </row>
    <row r="50" spans="1:7" x14ac:dyDescent="0.2">
      <c r="A50" s="62"/>
      <c r="B50" s="62"/>
      <c r="C50" s="63" t="s">
        <v>91</v>
      </c>
      <c r="D50" s="63"/>
      <c r="E50" s="63"/>
      <c r="F50" s="63"/>
      <c r="G50" s="63">
        <f>SUM(G38:G49)</f>
        <v>12372.7</v>
      </c>
    </row>
    <row r="51" spans="1:7" x14ac:dyDescent="0.2">
      <c r="A51" s="4"/>
      <c r="B51" s="4"/>
      <c r="C51" s="12"/>
      <c r="D51" s="12"/>
      <c r="E51" s="12"/>
      <c r="F51" s="12"/>
      <c r="G5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Alla priser från butiker</vt:lpstr>
      <vt:lpstr>Lista med frakt och utan frakt</vt:lpstr>
      <vt:lpstr>Billigaste per vara</vt:lpstr>
    </vt:vector>
  </TitlesOfParts>
  <Company>BVL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Svensson</dc:creator>
  <cp:lastModifiedBy>Magnus Svensson</cp:lastModifiedBy>
  <dcterms:created xsi:type="dcterms:W3CDTF">2015-04-21T08:16:51Z</dcterms:created>
  <dcterms:modified xsi:type="dcterms:W3CDTF">2018-06-11T08:20:26Z</dcterms:modified>
</cp:coreProperties>
</file>