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24915" windowHeight="11820"/>
  </bookViews>
  <sheets>
    <sheet name="Reinvesteringar inkl index" sheetId="1" r:id="rId1"/>
  </sheets>
  <definedNames>
    <definedName name="_xlnm.Print_Area" localSheetId="0">'Reinvesteringar inkl index'!$A$1:$L$81</definedName>
    <definedName name="_xlnm.Print_Titles" localSheetId="0">'Reinvesteringar inkl index'!$2:$3</definedName>
  </definedNames>
  <calcPr calcId="145621"/>
</workbook>
</file>

<file path=xl/calcChain.xml><?xml version="1.0" encoding="utf-8"?>
<calcChain xmlns="http://schemas.openxmlformats.org/spreadsheetml/2006/main">
  <c r="J55" i="1" l="1"/>
  <c r="F80" i="1" l="1"/>
  <c r="F81" i="1" s="1"/>
  <c r="B80" i="1"/>
  <c r="J79" i="1"/>
  <c r="K79" i="1" s="1"/>
  <c r="J78" i="1"/>
  <c r="K78" i="1" s="1"/>
  <c r="J77" i="1"/>
  <c r="K77" i="1" s="1"/>
  <c r="I76" i="1"/>
  <c r="K76" i="1" s="1"/>
  <c r="J75" i="1"/>
  <c r="K75" i="1" s="1"/>
  <c r="J74" i="1"/>
  <c r="K74" i="1" s="1"/>
  <c r="J73" i="1"/>
  <c r="K73" i="1" s="1"/>
  <c r="J72" i="1"/>
  <c r="K72" i="1" s="1"/>
  <c r="J71" i="1"/>
  <c r="K71" i="1" s="1"/>
  <c r="J70" i="1"/>
  <c r="K70" i="1" s="1"/>
  <c r="J69" i="1"/>
  <c r="K69" i="1" s="1"/>
  <c r="J68" i="1"/>
  <c r="K68" i="1" s="1"/>
  <c r="J67" i="1"/>
  <c r="K67" i="1" s="1"/>
  <c r="J66" i="1"/>
  <c r="I66" i="1"/>
  <c r="H66" i="1"/>
  <c r="G66" i="1"/>
  <c r="G80" i="1" s="1"/>
  <c r="K65" i="1"/>
  <c r="J65" i="1"/>
  <c r="H65" i="1"/>
  <c r="H80" i="1" s="1"/>
  <c r="J64" i="1"/>
  <c r="K64" i="1" s="1"/>
  <c r="K63" i="1"/>
  <c r="J63" i="1"/>
  <c r="J62" i="1"/>
  <c r="K62" i="1" s="1"/>
  <c r="F60" i="1"/>
  <c r="B60" i="1"/>
  <c r="G59" i="1"/>
  <c r="K59" i="1" s="1"/>
  <c r="G58" i="1"/>
  <c r="K58" i="1" s="1"/>
  <c r="G57" i="1"/>
  <c r="K57" i="1" s="1"/>
  <c r="G56" i="1"/>
  <c r="K56" i="1" s="1"/>
  <c r="K55" i="1"/>
  <c r="H54" i="1"/>
  <c r="K54" i="1" s="1"/>
  <c r="H53" i="1"/>
  <c r="K53" i="1" s="1"/>
  <c r="H52" i="1"/>
  <c r="K52" i="1" s="1"/>
  <c r="H51" i="1"/>
  <c r="G51" i="1"/>
  <c r="K51" i="1" s="1"/>
  <c r="J50" i="1"/>
  <c r="K50" i="1" s="1"/>
  <c r="J49" i="1"/>
  <c r="K49" i="1" s="1"/>
  <c r="I48" i="1"/>
  <c r="K48" i="1" s="1"/>
  <c r="H47" i="1"/>
  <c r="K47" i="1" s="1"/>
  <c r="J46" i="1"/>
  <c r="K46" i="1" s="1"/>
  <c r="J45" i="1"/>
  <c r="K45" i="1" s="1"/>
  <c r="I44" i="1"/>
  <c r="J43" i="1"/>
  <c r="H42" i="1"/>
  <c r="K42" i="1" s="1"/>
  <c r="I41" i="1"/>
  <c r="K41" i="1" s="1"/>
  <c r="G40" i="1"/>
  <c r="K40" i="1" s="1"/>
  <c r="K39" i="1"/>
  <c r="H39" i="1"/>
  <c r="H38" i="1"/>
  <c r="G38" i="1"/>
  <c r="H37" i="1"/>
  <c r="K37" i="1" s="1"/>
  <c r="K36" i="1"/>
  <c r="K35" i="1"/>
  <c r="K34" i="1"/>
  <c r="K33" i="1"/>
  <c r="K32" i="1"/>
  <c r="K31" i="1"/>
  <c r="K30" i="1"/>
  <c r="K29" i="1"/>
  <c r="F27" i="1"/>
  <c r="B27" i="1"/>
  <c r="J26" i="1"/>
  <c r="I26" i="1"/>
  <c r="H26" i="1"/>
  <c r="G26" i="1"/>
  <c r="J25" i="1"/>
  <c r="I25" i="1"/>
  <c r="H25" i="1"/>
  <c r="G25" i="1"/>
  <c r="J24" i="1"/>
  <c r="I24" i="1"/>
  <c r="H24" i="1"/>
  <c r="G24" i="1"/>
  <c r="H23" i="1"/>
  <c r="K23" i="1" s="1"/>
  <c r="K22" i="1"/>
  <c r="I22" i="1"/>
  <c r="H21" i="1"/>
  <c r="K21" i="1" s="1"/>
  <c r="J20" i="1"/>
  <c r="K20" i="1" s="1"/>
  <c r="H19" i="1"/>
  <c r="K19" i="1" s="1"/>
  <c r="H18" i="1"/>
  <c r="K18" i="1" s="1"/>
  <c r="I17" i="1"/>
  <c r="K17" i="1" s="1"/>
  <c r="I16" i="1"/>
  <c r="K16" i="1" s="1"/>
  <c r="G15" i="1"/>
  <c r="K15" i="1" s="1"/>
  <c r="K14" i="1"/>
  <c r="J14" i="1"/>
  <c r="J13" i="1"/>
  <c r="K13" i="1" s="1"/>
  <c r="H12" i="1"/>
  <c r="K12" i="1" s="1"/>
  <c r="H11" i="1"/>
  <c r="K11" i="1" s="1"/>
  <c r="J10" i="1"/>
  <c r="K10" i="1" s="1"/>
  <c r="J9" i="1"/>
  <c r="J27" i="1" s="1"/>
  <c r="I8" i="1"/>
  <c r="G7" i="1"/>
  <c r="K7" i="1" s="1"/>
  <c r="G6" i="1"/>
  <c r="K6" i="1" s="1"/>
  <c r="K5" i="1"/>
  <c r="G60" i="1" l="1"/>
  <c r="B81" i="1"/>
  <c r="J60" i="1"/>
  <c r="I27" i="1"/>
  <c r="K24" i="1"/>
  <c r="G27" i="1"/>
  <c r="G81" i="1" s="1"/>
  <c r="K26" i="1"/>
  <c r="K38" i="1"/>
  <c r="K43" i="1"/>
  <c r="K8" i="1"/>
  <c r="I60" i="1"/>
  <c r="K25" i="1"/>
  <c r="I80" i="1"/>
  <c r="H27" i="1"/>
  <c r="K44" i="1"/>
  <c r="K66" i="1"/>
  <c r="J80" i="1"/>
  <c r="J81" i="1" s="1"/>
  <c r="K9" i="1"/>
  <c r="H60" i="1"/>
  <c r="K60" i="1" s="1"/>
  <c r="K27" i="1" l="1"/>
  <c r="H81" i="1"/>
  <c r="I81" i="1"/>
  <c r="K80" i="1"/>
  <c r="K81" i="1" l="1"/>
</calcChain>
</file>

<file path=xl/sharedStrings.xml><?xml version="1.0" encoding="utf-8"?>
<sst xmlns="http://schemas.openxmlformats.org/spreadsheetml/2006/main" count="224" uniqueCount="205">
  <si>
    <t>Objekt</t>
  </si>
  <si>
    <t xml:space="preserve">Antal skador </t>
  </si>
  <si>
    <t>Objektnr.</t>
  </si>
  <si>
    <t>Åtgärd</t>
  </si>
  <si>
    <t>Byggår</t>
  </si>
  <si>
    <t>Summa</t>
  </si>
  <si>
    <t xml:space="preserve"> - TK 2 och TK 3</t>
  </si>
  <si>
    <t>Prio I</t>
  </si>
  <si>
    <t xml:space="preserve">INNERSTAD </t>
  </si>
  <si>
    <t>Stallbron</t>
  </si>
  <si>
    <t>52-2-3010</t>
  </si>
  <si>
    <t>Omisolering 365 m2</t>
  </si>
  <si>
    <t>Regeringsgatan över Kungsgatan</t>
  </si>
  <si>
    <t>52-3-0071</t>
  </si>
  <si>
    <t>Kalkutfällning, bompartier</t>
  </si>
  <si>
    <t>Malmskillnadsgatan över Kungsgatan</t>
  </si>
  <si>
    <t>52-43-0069</t>
  </si>
  <si>
    <t>S:t Eriksbron</t>
  </si>
  <si>
    <t>52-3-3030</t>
  </si>
  <si>
    <t>Beläggning/isolering GC-banor 1 150 m2, lager</t>
  </si>
  <si>
    <t>Ruddammsvägen gc-bro över Roslagsvägen</t>
  </si>
  <si>
    <t>52-1-0060A</t>
  </si>
  <si>
    <t>Omisolering</t>
  </si>
  <si>
    <t>Ringvägen över Södra Stambanan västra bron</t>
  </si>
  <si>
    <t>52-2-0065</t>
  </si>
  <si>
    <t>Svetsning, stålrep., omisolering, inmpreg.</t>
  </si>
  <si>
    <t>Hornsgatan över Söderleden</t>
  </si>
  <si>
    <t>52-2-0056A</t>
  </si>
  <si>
    <t>Reparation av brobaneplattans undersida</t>
  </si>
  <si>
    <t>Kungsbron över västra Järnvägsgatan</t>
  </si>
  <si>
    <t>52-3-3036</t>
  </si>
  <si>
    <t>Fogbyte</t>
  </si>
  <si>
    <t>Strömbron</t>
  </si>
  <si>
    <t>52-2-3037</t>
  </si>
  <si>
    <t xml:space="preserve">Bättringsmålning </t>
  </si>
  <si>
    <t>Fjällgatan/Katarinavägen</t>
  </si>
  <si>
    <t>ej BaTMan</t>
  </si>
  <si>
    <t>Nytt räcke som skydd för stödmur 220 m</t>
  </si>
  <si>
    <t>Dalatrappan</t>
  </si>
  <si>
    <t>52-3-0502</t>
  </si>
  <si>
    <t>Centralbron över Söderström</t>
  </si>
  <si>
    <t>52-2-3041</t>
  </si>
  <si>
    <t>Bättringsmålning 7 300 m2</t>
  </si>
  <si>
    <t>Klarabergsviadukten över Centralbangården</t>
  </si>
  <si>
    <t>52-3-0054A</t>
  </si>
  <si>
    <t>Omålning</t>
  </si>
  <si>
    <t>Mäster Samuelsgatan över Sveavägen</t>
  </si>
  <si>
    <t>52-3-0089</t>
  </si>
  <si>
    <t>Drottningholmsvägen öster om Fredhällsmot</t>
  </si>
  <si>
    <t>52-4-0008</t>
  </si>
  <si>
    <t>Omisolering, kantsten,dilfogar, balk</t>
  </si>
  <si>
    <t>Malmskillnadsgatan över Hamngatan</t>
  </si>
  <si>
    <t>52-3-0084</t>
  </si>
  <si>
    <t>Omisolering, impreg, fog</t>
  </si>
  <si>
    <t>Malmskillnadsgatan över Oxtorget</t>
  </si>
  <si>
    <t>52-3-0086</t>
  </si>
  <si>
    <t>Hornsgatspucklen</t>
  </si>
  <si>
    <t>52-2-0125 A</t>
  </si>
  <si>
    <t>Pågjutning stödmur, repartaion kantbalk, byte trappa</t>
  </si>
  <si>
    <t>Cityterminalen/Kungsbron</t>
  </si>
  <si>
    <t>52-3-0136</t>
  </si>
  <si>
    <t>Installationer</t>
  </si>
  <si>
    <t>Trygghetsåtgärder och suicid åtgärder</t>
  </si>
  <si>
    <t>Höjning av broräcke 1,4 m</t>
  </si>
  <si>
    <t>Div. kajer</t>
  </si>
  <si>
    <t>Förstärkningar</t>
  </si>
  <si>
    <t>Summa innerstad</t>
  </si>
  <si>
    <t>SÖDERORT</t>
  </si>
  <si>
    <t>Byälväsvägen väster om Ljusnev. 1:a gångtunneln</t>
  </si>
  <si>
    <t>53-2-0058</t>
  </si>
  <si>
    <t>Byälväsvägen väster om Ljusnev.2:dje gångtunneln</t>
  </si>
  <si>
    <t>180-10553-1</t>
  </si>
  <si>
    <t>Byälvsvägen väster Ljusnevägen 3:dje gångtunnlen</t>
  </si>
  <si>
    <t>180-10556-1</t>
  </si>
  <si>
    <t>Byälvsvägen öster om Sockenv. 1:a gångtunneln</t>
  </si>
  <si>
    <t>53-2-0060</t>
  </si>
  <si>
    <t>Byävlsägen öster om Sockenvägen. 2:dra gångtunneln</t>
  </si>
  <si>
    <t>53-2-0056</t>
  </si>
  <si>
    <t>Omisolering, förstärkning, kantbalk</t>
  </si>
  <si>
    <t>Sockenvägen väster om Byälvsvägen 2:a gångtunneln</t>
  </si>
  <si>
    <t>Byälvsvägen väster on Sockenvägen, bro</t>
  </si>
  <si>
    <t>Skanstullsbron</t>
  </si>
  <si>
    <t>53-1-3039</t>
  </si>
  <si>
    <t>Rep. av hänglager, sedimentering dagv, bropelare</t>
  </si>
  <si>
    <t>Johanneshovs trafikplats</t>
  </si>
  <si>
    <t>53-1-0052</t>
  </si>
  <si>
    <t>Slipning 4400 m2 + fog</t>
  </si>
  <si>
    <t>Skebokvarnsvägen söder om Önskehemsgatan</t>
  </si>
  <si>
    <t>53-4-0056</t>
  </si>
  <si>
    <t>Omisolering 112 m3</t>
  </si>
  <si>
    <t>Larsbodavägen väster om Grumsgatan</t>
  </si>
  <si>
    <t>53-3-0072</t>
  </si>
  <si>
    <t>Omisolering 222 m2</t>
  </si>
  <si>
    <t>Nynäsvägen vid Stora Gungans väg</t>
  </si>
  <si>
    <t>53-1-007</t>
  </si>
  <si>
    <t>Omisolering 370 m2, kantbalk, stödmur, betongreparation</t>
  </si>
  <si>
    <t>Mageulgnsv öster jvg stn Farsta Strand</t>
  </si>
  <si>
    <t>53-3-0034A</t>
  </si>
  <si>
    <t>Omisolering 247m2 + div</t>
  </si>
  <si>
    <t>Nynäsvägen norr om Gubbängsvägen</t>
  </si>
  <si>
    <t>53-3-0084</t>
  </si>
  <si>
    <t>Omisolering 212 m2, betongförstärkning, takelement</t>
  </si>
  <si>
    <t>Kungsätravägen vid Eksätravägen</t>
  </si>
  <si>
    <t>53-6-0070</t>
  </si>
  <si>
    <t>Omisolering/betongförstärkning 200m2</t>
  </si>
  <si>
    <t>Eksätravägen söder om Sätra torg</t>
  </si>
  <si>
    <t>53-6-0071</t>
  </si>
  <si>
    <t>Omisolering/betongförstärkning 241m2</t>
  </si>
  <si>
    <t>Skärholmsvägen söder om Sätra torg</t>
  </si>
  <si>
    <t>53-6-0079</t>
  </si>
  <si>
    <t>Omisolering/betongförstärkning 322 m2</t>
  </si>
  <si>
    <t>Bredängsvägen vid Bredängstorg</t>
  </si>
  <si>
    <t>53-6-0056</t>
  </si>
  <si>
    <t>Omisolering 159 m2</t>
  </si>
  <si>
    <t>Bredängs allé vid Tankebyggarbacken</t>
  </si>
  <si>
    <t>53-6-0066</t>
  </si>
  <si>
    <t>Omisolering, betongförstärkning 200 m2</t>
  </si>
  <si>
    <t>Tankebyggarbacken väster om Bredängs allé</t>
  </si>
  <si>
    <t>53-60067</t>
  </si>
  <si>
    <t>Omisolering 177 m2</t>
  </si>
  <si>
    <t>Botkyrkabanan söder om Björksätravägen gc-bro</t>
  </si>
  <si>
    <t>53-60091</t>
  </si>
  <si>
    <t>Omisolering 40 m2</t>
  </si>
  <si>
    <t>Fjärdholmsgränd öster om Vårholmsbackarna</t>
  </si>
  <si>
    <t>53-7-0070A</t>
  </si>
  <si>
    <t>Omisolering 212 m2, kantbalk</t>
  </si>
  <si>
    <t>Perstorpsvägen söder om Ekebergabacken</t>
  </si>
  <si>
    <t>53-3-0017</t>
  </si>
  <si>
    <t>Omisolering, 94 m2, betongförstärkning</t>
  </si>
  <si>
    <t>Våruddsringen söder om Duvholmsgränd</t>
  </si>
  <si>
    <t>53-7-0073</t>
  </si>
  <si>
    <t>Vårbergsvägen v om Ekholmsvägen</t>
  </si>
  <si>
    <t>53-7-0053</t>
  </si>
  <si>
    <t>Nynäsvägen över Sockenvägen</t>
  </si>
  <si>
    <t>53-1-0061</t>
  </si>
  <si>
    <t>Omisolering, kantbalk, ytavlopp</t>
  </si>
  <si>
    <t>Götalandsvägen över Åbyvägen</t>
  </si>
  <si>
    <t>53-4-0048</t>
  </si>
  <si>
    <t xml:space="preserve">Omisolering 800 m2, kantbalk </t>
  </si>
  <si>
    <t>Södertäjevägen vid Lotta Svärdsgränd</t>
  </si>
  <si>
    <t>53-5-0076</t>
  </si>
  <si>
    <t>Omisolering 600 m2, fog</t>
  </si>
  <si>
    <t>Botkyrkabanan öster tb Vårberg</t>
  </si>
  <si>
    <t>53-7-0086</t>
  </si>
  <si>
    <t>Omislering 102 m2</t>
  </si>
  <si>
    <t>Magelungsvägen öster om gamla Huddingevägen</t>
  </si>
  <si>
    <t>53-4-0021</t>
  </si>
  <si>
    <t>Omisolering 257 m2, igenfyllning hålrum, beläggning</t>
  </si>
  <si>
    <t>Summa söderort</t>
  </si>
  <si>
    <t>VÄSTERORT</t>
  </si>
  <si>
    <t>Hanstavägen norr Oddegatan</t>
  </si>
  <si>
    <t>54-5-0124</t>
  </si>
  <si>
    <t>Omisolering 336 m2</t>
  </si>
  <si>
    <t>Tenstavägen väster om Hjulsta backar, gc-bro</t>
  </si>
  <si>
    <t>54-5-0089</t>
  </si>
  <si>
    <t>Partiell betongreparation, impregnering</t>
  </si>
  <si>
    <t>Spånga kyrkväg över västra Stambana, gamla delen</t>
  </si>
  <si>
    <t>54-20058</t>
  </si>
  <si>
    <t>Omisolering 1800 m2</t>
  </si>
  <si>
    <t>1939-68</t>
  </si>
  <si>
    <t>Bälstavägen över Ulvsundabanan</t>
  </si>
  <si>
    <t>54-1-0057</t>
  </si>
  <si>
    <t>Omisolering 165 m2</t>
  </si>
  <si>
    <t xml:space="preserve">Ersätningsbroar gång- och cykelbroar Tensta Rinkeby </t>
  </si>
  <si>
    <t xml:space="preserve"> -</t>
  </si>
  <si>
    <t>nya broar</t>
  </si>
  <si>
    <t>Spånga kyrkväg norr om Svinninggränd</t>
  </si>
  <si>
    <t>54-5-0071</t>
  </si>
  <si>
    <t>Omisolering 150 m2</t>
  </si>
  <si>
    <t>Hjulstastråket norr om Hidinge backe</t>
  </si>
  <si>
    <t>54-5-0078</t>
  </si>
  <si>
    <t>Omisolering 152 m2</t>
  </si>
  <si>
    <t>Kvarnbybacken söder om Lillbybacken</t>
  </si>
  <si>
    <t>54-5-0021</t>
  </si>
  <si>
    <t>Omisolering 123 m2</t>
  </si>
  <si>
    <t>Tenstavägen öster om Hjulsta backar, gc-bro</t>
  </si>
  <si>
    <t>Lagerbyte, ommålning södra del</t>
  </si>
  <si>
    <t>Indalsbacken över Frostviksgatan</t>
  </si>
  <si>
    <t>54-3-0025</t>
  </si>
  <si>
    <t>Omisolering, 120m2 (655m2) gränsar mot Sv. Bostäder</t>
  </si>
  <si>
    <t>Porkalagatan söder om Finlandsgatan</t>
  </si>
  <si>
    <t>54-5-0151</t>
  </si>
  <si>
    <t>Omisolering 178 m2</t>
  </si>
  <si>
    <t>Råckstavägen norr om Söderberga gårdsväg</t>
  </si>
  <si>
    <t>54-3-0024</t>
  </si>
  <si>
    <t>Omisolering 265 m2</t>
  </si>
  <si>
    <t>Sveaborgsgatan söder om Finlandsgatan</t>
  </si>
  <si>
    <t>54-5-0150A</t>
  </si>
  <si>
    <t>Omisolering 116 m2</t>
  </si>
  <si>
    <t>Gc-bro över Hanstavägen väster om Esbogatan</t>
  </si>
  <si>
    <t>54-5-0130</t>
  </si>
  <si>
    <t>Omisolering 765 m2</t>
  </si>
  <si>
    <t>Hjulstavägen norr om Enköpingsvägen</t>
  </si>
  <si>
    <t>54-5-0094</t>
  </si>
  <si>
    <t>Slamning kantbalk, rep vid fog</t>
  </si>
  <si>
    <t xml:space="preserve">       "                                    "</t>
  </si>
  <si>
    <t>Omisolering 316 m2</t>
  </si>
  <si>
    <t>Danmarksgatan söder om Färögatan</t>
  </si>
  <si>
    <t>54-5-0185</t>
  </si>
  <si>
    <t>Omisolering 99 m2</t>
  </si>
  <si>
    <t>Hanstavägen vid Kista centrum, gångbro, ramp och trappa</t>
  </si>
  <si>
    <t>54-5-0177</t>
  </si>
  <si>
    <t>Omisolering 399 m2, betongreparationer av element</t>
  </si>
  <si>
    <t>Summa västerort</t>
  </si>
  <si>
    <t>TOTALT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</si>
</sst>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0"/>
      <name val="Arial"/>
      <family val="2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sz val="10"/>
      <name val="Times New Roman"/>
      <family val="1"/>
    </font>
    <font>
      <sz val="10"/>
      <name val="Times New Roman"/>
      <family val="1"/>
    </font>
    <font>
      <sz val="11"/>
      <color rgb="FF000000"/>
      <name val="Calibri"/>
      <family val="2"/>
    </font>
    <font>
      <b/>
      <sz val="11"/>
      <name val="Times New Roman"/>
      <family val="1"/>
    </font>
    <font>
      <b/>
      <sz val="10"/>
      <color rgb="FFFF0000"/>
      <name val="Arial"/>
      <family val="2"/>
    </font>
    <font>
      <b/>
      <sz val="10"/>
      <color rgb="FFFF0000"/>
      <name val="Times New Roman"/>
      <family val="1"/>
    </font>
    <font>
      <sz val="10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indexed="42"/>
        <bgColor indexed="64"/>
      </patternFill>
    </fill>
  </fills>
  <borders count="1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2">
    <xf numFmtId="0" fontId="0" fillId="0" borderId="0" xfId="0"/>
    <xf numFmtId="0" fontId="1" fillId="0" borderId="0" xfId="0" applyFont="1"/>
    <xf numFmtId="14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2" borderId="1" xfId="0" applyFont="1" applyFill="1" applyBorder="1"/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/>
    <xf numFmtId="0" fontId="4" fillId="2" borderId="4" xfId="0" applyFont="1" applyFill="1" applyBorder="1" applyAlignment="1">
      <alignment horizontal="center"/>
    </xf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/>
    <xf numFmtId="0" fontId="4" fillId="2" borderId="8" xfId="0" applyFont="1" applyFill="1" applyBorder="1" applyAlignment="1">
      <alignment horizontal="center"/>
    </xf>
    <xf numFmtId="0" fontId="4" fillId="2" borderId="9" xfId="0" applyFont="1" applyFill="1" applyBorder="1"/>
    <xf numFmtId="0" fontId="4" fillId="2" borderId="10" xfId="0" applyFont="1" applyFill="1" applyBorder="1" applyAlignment="1">
      <alignment horizontal="center"/>
    </xf>
    <xf numFmtId="0" fontId="4" fillId="2" borderId="8" xfId="0" applyFont="1" applyFill="1" applyBorder="1"/>
    <xf numFmtId="0" fontId="4" fillId="3" borderId="11" xfId="0" applyFont="1" applyFill="1" applyBorder="1" applyAlignment="1">
      <alignment horizontal="left"/>
    </xf>
    <xf numFmtId="0" fontId="4" fillId="3" borderId="12" xfId="0" applyFont="1" applyFill="1" applyBorder="1" applyAlignment="1">
      <alignment horizontal="center"/>
    </xf>
    <xf numFmtId="0" fontId="4" fillId="3" borderId="13" xfId="0" applyFont="1" applyFill="1" applyBorder="1" applyAlignment="1">
      <alignment horizontal="center"/>
    </xf>
    <xf numFmtId="0" fontId="4" fillId="3" borderId="12" xfId="0" applyFont="1" applyFill="1" applyBorder="1"/>
    <xf numFmtId="0" fontId="4" fillId="3" borderId="11" xfId="0" applyFont="1" applyFill="1" applyBorder="1"/>
    <xf numFmtId="0" fontId="4" fillId="3" borderId="14" xfId="0" applyFont="1" applyFill="1" applyBorder="1"/>
    <xf numFmtId="0" fontId="5" fillId="0" borderId="6" xfId="0" applyFont="1" applyFill="1" applyBorder="1"/>
    <xf numFmtId="0" fontId="4" fillId="0" borderId="15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/>
    </xf>
    <xf numFmtId="0" fontId="5" fillId="0" borderId="15" xfId="0" applyFont="1" applyFill="1" applyBorder="1"/>
    <xf numFmtId="3" fontId="5" fillId="0" borderId="0" xfId="0" applyNumberFormat="1" applyFont="1" applyFill="1" applyBorder="1"/>
    <xf numFmtId="3" fontId="5" fillId="0" borderId="6" xfId="0" applyNumberFormat="1" applyFont="1" applyFill="1" applyBorder="1"/>
    <xf numFmtId="3" fontId="5" fillId="0" borderId="15" xfId="0" applyNumberFormat="1" applyFont="1" applyFill="1" applyBorder="1"/>
    <xf numFmtId="3" fontId="5" fillId="0" borderId="16" xfId="0" applyNumberFormat="1" applyFont="1" applyFill="1" applyBorder="1"/>
    <xf numFmtId="3" fontId="5" fillId="4" borderId="16" xfId="0" applyNumberFormat="1" applyFont="1" applyFill="1" applyBorder="1"/>
    <xf numFmtId="0" fontId="1" fillId="0" borderId="0" xfId="0" applyFont="1" applyFill="1" applyBorder="1"/>
    <xf numFmtId="3" fontId="1" fillId="0" borderId="0" xfId="0" applyNumberFormat="1" applyFont="1" applyFill="1" applyBorder="1"/>
    <xf numFmtId="3" fontId="0" fillId="0" borderId="0" xfId="0" applyNumberFormat="1" applyFill="1" applyBorder="1"/>
    <xf numFmtId="0" fontId="0" fillId="0" borderId="0" xfId="0" applyFill="1" applyBorder="1"/>
    <xf numFmtId="0" fontId="5" fillId="0" borderId="0" xfId="0" applyFont="1" applyFill="1" applyBorder="1" applyAlignment="1" applyProtection="1">
      <alignment horizontal="center"/>
      <protection locked="0"/>
    </xf>
    <xf numFmtId="0" fontId="5" fillId="0" borderId="6" xfId="0" applyFont="1" applyFill="1" applyBorder="1" applyAlignment="1">
      <alignment horizontal="left"/>
    </xf>
    <xf numFmtId="0" fontId="4" fillId="0" borderId="12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12" xfId="0" applyFont="1" applyFill="1" applyBorder="1"/>
    <xf numFmtId="3" fontId="1" fillId="0" borderId="12" xfId="0" applyNumberFormat="1" applyFont="1" applyFill="1" applyBorder="1"/>
    <xf numFmtId="3" fontId="5" fillId="0" borderId="11" xfId="0" applyNumberFormat="1" applyFont="1" applyFill="1" applyBorder="1"/>
    <xf numFmtId="3" fontId="5" fillId="0" borderId="14" xfId="0" applyNumberFormat="1" applyFont="1" applyFill="1" applyBorder="1"/>
    <xf numFmtId="0" fontId="4" fillId="2" borderId="17" xfId="0" applyFont="1" applyFill="1" applyBorder="1" applyAlignment="1">
      <alignment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7" xfId="0" applyFont="1" applyFill="1" applyBorder="1" applyAlignment="1" applyProtection="1">
      <alignment horizontal="center" vertical="center"/>
      <protection locked="0"/>
    </xf>
    <xf numFmtId="3" fontId="4" fillId="2" borderId="17" xfId="0" applyNumberFormat="1" applyFont="1" applyFill="1" applyBorder="1" applyAlignment="1">
      <alignment vertical="center"/>
    </xf>
    <xf numFmtId="0" fontId="0" fillId="0" borderId="0" xfId="0" applyAlignment="1">
      <alignment vertical="center"/>
    </xf>
    <xf numFmtId="0" fontId="5" fillId="3" borderId="14" xfId="0" applyFont="1" applyFill="1" applyBorder="1" applyAlignment="1">
      <alignment horizontal="center"/>
    </xf>
    <xf numFmtId="0" fontId="5" fillId="3" borderId="13" xfId="0" applyFont="1" applyFill="1" applyBorder="1"/>
    <xf numFmtId="0" fontId="0" fillId="3" borderId="13" xfId="0" applyFill="1" applyBorder="1"/>
    <xf numFmtId="0" fontId="0" fillId="3" borderId="14" xfId="0" applyFill="1" applyBorder="1"/>
    <xf numFmtId="0" fontId="0" fillId="0" borderId="0" xfId="0" applyBorder="1"/>
    <xf numFmtId="0" fontId="5" fillId="0" borderId="16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left"/>
    </xf>
    <xf numFmtId="3" fontId="5" fillId="4" borderId="15" xfId="0" applyNumberFormat="1" applyFont="1" applyFill="1" applyBorder="1"/>
    <xf numFmtId="0" fontId="5" fillId="0" borderId="16" xfId="0" applyFont="1" applyFill="1" applyBorder="1" applyAlignment="1" applyProtection="1">
      <alignment horizontal="center"/>
      <protection locked="0"/>
    </xf>
    <xf numFmtId="0" fontId="5" fillId="0" borderId="0" xfId="0" applyFont="1" applyFill="1" applyBorder="1"/>
    <xf numFmtId="0" fontId="6" fillId="0" borderId="0" xfId="0" applyFont="1"/>
    <xf numFmtId="3" fontId="5" fillId="0" borderId="0" xfId="0" applyNumberFormat="1" applyFont="1" applyFill="1" applyBorder="1" applyAlignment="1"/>
    <xf numFmtId="0" fontId="5" fillId="0" borderId="15" xfId="0" applyFont="1" applyFill="1" applyBorder="1" applyAlignment="1" applyProtection="1">
      <alignment horizontal="center"/>
      <protection locked="0"/>
    </xf>
    <xf numFmtId="0" fontId="5" fillId="0" borderId="15" xfId="0" applyFont="1" applyFill="1" applyBorder="1" applyAlignment="1">
      <alignment horizontal="center"/>
    </xf>
    <xf numFmtId="3" fontId="5" fillId="0" borderId="15" xfId="0" applyNumberFormat="1" applyFont="1" applyBorder="1"/>
    <xf numFmtId="0" fontId="0" fillId="0" borderId="0" xfId="0" applyFill="1" applyBorder="1" applyAlignment="1">
      <alignment vertical="center"/>
    </xf>
    <xf numFmtId="0" fontId="5" fillId="3" borderId="13" xfId="0" applyFont="1" applyFill="1" applyBorder="1" applyAlignment="1">
      <alignment horizontal="center"/>
    </xf>
    <xf numFmtId="0" fontId="5" fillId="3" borderId="14" xfId="0" applyFont="1" applyFill="1" applyBorder="1"/>
    <xf numFmtId="0" fontId="4" fillId="0" borderId="18" xfId="0" applyFont="1" applyFill="1" applyBorder="1" applyAlignment="1">
      <alignment horizontal="center"/>
    </xf>
    <xf numFmtId="3" fontId="0" fillId="0" borderId="15" xfId="0" applyNumberFormat="1" applyFill="1" applyBorder="1"/>
    <xf numFmtId="0" fontId="5" fillId="0" borderId="11" xfId="0" applyFont="1" applyFill="1" applyBorder="1"/>
    <xf numFmtId="0" fontId="5" fillId="0" borderId="12" xfId="0" applyFont="1" applyFill="1" applyBorder="1" applyAlignment="1">
      <alignment horizontal="center"/>
    </xf>
    <xf numFmtId="0" fontId="5" fillId="0" borderId="13" xfId="0" applyFont="1" applyFill="1" applyBorder="1"/>
    <xf numFmtId="3" fontId="0" fillId="0" borderId="12" xfId="0" applyNumberFormat="1" applyFill="1" applyBorder="1"/>
    <xf numFmtId="0" fontId="7" fillId="5" borderId="17" xfId="0" applyFont="1" applyFill="1" applyBorder="1" applyAlignment="1">
      <alignment horizontal="left" vertical="center"/>
    </xf>
    <xf numFmtId="0" fontId="4" fillId="5" borderId="17" xfId="0" applyFont="1" applyFill="1" applyBorder="1" applyAlignment="1">
      <alignment horizontal="center" vertical="center"/>
    </xf>
    <xf numFmtId="0" fontId="4" fillId="5" borderId="17" xfId="0" applyFont="1" applyFill="1" applyBorder="1" applyAlignment="1">
      <alignment horizontal="right" vertical="center"/>
    </xf>
    <xf numFmtId="3" fontId="4" fillId="5" borderId="17" xfId="0" applyNumberFormat="1" applyFont="1" applyFill="1" applyBorder="1" applyAlignment="1">
      <alignment vertical="center"/>
    </xf>
    <xf numFmtId="0" fontId="4" fillId="0" borderId="0" xfId="0" applyFont="1" applyFill="1" applyBorder="1"/>
    <xf numFmtId="0" fontId="3" fillId="0" borderId="0" xfId="0" applyFont="1"/>
    <xf numFmtId="164" fontId="8" fillId="0" borderId="0" xfId="1" applyNumberFormat="1" applyFont="1"/>
    <xf numFmtId="0" fontId="9" fillId="0" borderId="0" xfId="0" applyFont="1" applyFill="1" applyBorder="1" applyAlignment="1">
      <alignment horizontal="left"/>
    </xf>
    <xf numFmtId="0" fontId="10" fillId="0" borderId="0" xfId="0" applyFont="1"/>
    <xf numFmtId="3" fontId="0" fillId="0" borderId="0" xfId="0" applyNumberFormat="1"/>
  </cellXfs>
  <cellStyles count="2">
    <cellStyle name="Normal" xfId="0" builtinId="0"/>
    <cellStyle name="Pro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123825</xdr:colOff>
      <xdr:row>78</xdr:row>
      <xdr:rowOff>123825</xdr:rowOff>
    </xdr:from>
    <xdr:to>
      <xdr:col>11</xdr:col>
      <xdr:colOff>533400</xdr:colOff>
      <xdr:row>80</xdr:row>
      <xdr:rowOff>400050</xdr:rowOff>
    </xdr:to>
    <xdr:sp macro="" textlink="">
      <xdr:nvSpPr>
        <xdr:cNvPr id="2" name="textruta 1"/>
        <xdr:cNvSpPr txBox="1"/>
      </xdr:nvSpPr>
      <xdr:spPr>
        <a:xfrm>
          <a:off x="12249150" y="13306425"/>
          <a:ext cx="409575" cy="82867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vert" wrap="square" rtlCol="0" anchor="t"/>
        <a:lstStyle/>
        <a:p>
          <a:r>
            <a:rPr lang="sv-SE" sz="1100"/>
            <a:t>Bilaga 1</a:t>
          </a:r>
        </a:p>
      </xdr:txBody>
    </xdr:sp>
    <xdr:clientData/>
  </xdr:twoCellAnchor>
  <xdr:twoCellAnchor>
    <xdr:from>
      <xdr:col>11</xdr:col>
      <xdr:colOff>66675</xdr:colOff>
      <xdr:row>41</xdr:row>
      <xdr:rowOff>31750</xdr:rowOff>
    </xdr:from>
    <xdr:to>
      <xdr:col>11</xdr:col>
      <xdr:colOff>476250</xdr:colOff>
      <xdr:row>45</xdr:row>
      <xdr:rowOff>130175</xdr:rowOff>
    </xdr:to>
    <xdr:sp macro="" textlink="">
      <xdr:nvSpPr>
        <xdr:cNvPr id="3" name="textruta 2"/>
        <xdr:cNvSpPr txBox="1"/>
      </xdr:nvSpPr>
      <xdr:spPr>
        <a:xfrm>
          <a:off x="12192000" y="6965950"/>
          <a:ext cx="409575" cy="7747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vert="vert" wrap="square" rtlCol="0" anchor="t"/>
        <a:lstStyle/>
        <a:p>
          <a:r>
            <a:rPr lang="sv-SE" sz="1100"/>
            <a:t>Bilaga 1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85"/>
  <sheetViews>
    <sheetView tabSelected="1" zoomScaleNormal="100" workbookViewId="0">
      <selection activeCell="M68" sqref="M68"/>
    </sheetView>
  </sheetViews>
  <sheetFormatPr defaultRowHeight="12.75" x14ac:dyDescent="0.2"/>
  <cols>
    <col min="1" max="1" width="45.42578125" customWidth="1"/>
    <col min="2" max="2" width="14.28515625" customWidth="1"/>
    <col min="3" max="3" width="10.42578125" customWidth="1"/>
    <col min="4" max="4" width="41.140625" customWidth="1"/>
    <col min="5" max="5" width="9.28515625" bestFit="1" customWidth="1"/>
    <col min="6" max="6" width="10.28515625" customWidth="1"/>
    <col min="7" max="7" width="10.42578125" customWidth="1"/>
    <col min="8" max="8" width="10.5703125" customWidth="1"/>
    <col min="9" max="10" width="9.7109375" bestFit="1" customWidth="1"/>
    <col min="11" max="11" width="10.5703125" bestFit="1" customWidth="1"/>
  </cols>
  <sheetData>
    <row r="1" spans="1:17" ht="13.5" thickBot="1" x14ac:dyDescent="0.25">
      <c r="A1" s="1"/>
      <c r="B1" s="2"/>
      <c r="D1" s="3"/>
      <c r="E1" s="4"/>
    </row>
    <row r="2" spans="1:17" x14ac:dyDescent="0.2">
      <c r="A2" s="5" t="s">
        <v>0</v>
      </c>
      <c r="B2" s="6" t="s">
        <v>1</v>
      </c>
      <c r="C2" s="6" t="s">
        <v>2</v>
      </c>
      <c r="D2" s="7" t="s">
        <v>3</v>
      </c>
      <c r="E2" s="8" t="s">
        <v>4</v>
      </c>
      <c r="F2" s="9">
        <v>2014</v>
      </c>
      <c r="G2" s="9">
        <v>2015</v>
      </c>
      <c r="H2" s="9">
        <v>2016</v>
      </c>
      <c r="I2" s="9">
        <v>2017</v>
      </c>
      <c r="J2" s="6">
        <v>2018</v>
      </c>
      <c r="K2" s="6" t="s">
        <v>5</v>
      </c>
      <c r="Q2" s="10">
        <v>1.05</v>
      </c>
    </row>
    <row r="3" spans="1:17" ht="13.5" thickBot="1" x14ac:dyDescent="0.25">
      <c r="A3" s="11"/>
      <c r="B3" s="12" t="s">
        <v>6</v>
      </c>
      <c r="C3" s="12"/>
      <c r="D3" s="13"/>
      <c r="E3" s="14"/>
      <c r="F3" s="15"/>
      <c r="G3" s="15"/>
      <c r="H3" s="15"/>
      <c r="I3" s="15"/>
      <c r="J3" s="15"/>
      <c r="K3" s="12" t="s">
        <v>7</v>
      </c>
    </row>
    <row r="4" spans="1:17" x14ac:dyDescent="0.2">
      <c r="A4" s="16" t="s">
        <v>8</v>
      </c>
      <c r="B4" s="17"/>
      <c r="C4" s="18"/>
      <c r="D4" s="19"/>
      <c r="E4" s="17"/>
      <c r="F4" s="20"/>
      <c r="G4" s="19"/>
      <c r="H4" s="21"/>
      <c r="I4" s="21"/>
      <c r="J4" s="21"/>
      <c r="K4" s="21"/>
    </row>
    <row r="5" spans="1:17" s="31" customFormat="1" x14ac:dyDescent="0.2">
      <c r="A5" s="22" t="s">
        <v>9</v>
      </c>
      <c r="B5" s="23">
        <v>2</v>
      </c>
      <c r="C5" s="24" t="s">
        <v>10</v>
      </c>
      <c r="D5" s="25" t="s">
        <v>11</v>
      </c>
      <c r="E5" s="23">
        <v>1903</v>
      </c>
      <c r="F5" s="26">
        <v>4500</v>
      </c>
      <c r="G5" s="27"/>
      <c r="H5" s="28"/>
      <c r="I5" s="29"/>
      <c r="J5" s="29"/>
      <c r="K5" s="30">
        <f>SUM(F5:J5)</f>
        <v>4500</v>
      </c>
    </row>
    <row r="6" spans="1:17" s="31" customFormat="1" x14ac:dyDescent="0.2">
      <c r="A6" s="22" t="s">
        <v>12</v>
      </c>
      <c r="B6" s="23">
        <v>3</v>
      </c>
      <c r="C6" s="24" t="s">
        <v>13</v>
      </c>
      <c r="D6" s="25" t="s">
        <v>14</v>
      </c>
      <c r="E6" s="23">
        <v>1908</v>
      </c>
      <c r="F6" s="32"/>
      <c r="G6" s="27">
        <f>+(1000*$Q$2)*$Q$2-3</f>
        <v>1099.5</v>
      </c>
      <c r="H6" s="28"/>
      <c r="I6" s="29"/>
      <c r="J6" s="29"/>
      <c r="K6" s="30">
        <f t="shared" ref="K6:K26" si="0">SUM(F6:J6)</f>
        <v>1099.5</v>
      </c>
    </row>
    <row r="7" spans="1:17" s="31" customFormat="1" x14ac:dyDescent="0.2">
      <c r="A7" s="22" t="s">
        <v>15</v>
      </c>
      <c r="B7" s="23">
        <v>2</v>
      </c>
      <c r="C7" s="24" t="s">
        <v>16</v>
      </c>
      <c r="D7" s="25" t="s">
        <v>14</v>
      </c>
      <c r="E7" s="23">
        <v>1910</v>
      </c>
      <c r="F7" s="32"/>
      <c r="G7" s="27">
        <f>+(1000*$Q$2)*$Q$2-3</f>
        <v>1099.5</v>
      </c>
      <c r="H7" s="28"/>
      <c r="I7" s="29"/>
      <c r="J7" s="29"/>
      <c r="K7" s="30">
        <f t="shared" si="0"/>
        <v>1099.5</v>
      </c>
    </row>
    <row r="8" spans="1:17" s="34" customFormat="1" x14ac:dyDescent="0.2">
      <c r="A8" s="22" t="s">
        <v>17</v>
      </c>
      <c r="B8" s="23">
        <v>2</v>
      </c>
      <c r="C8" s="24" t="s">
        <v>18</v>
      </c>
      <c r="D8" s="25" t="s">
        <v>19</v>
      </c>
      <c r="E8" s="23">
        <v>1937</v>
      </c>
      <c r="F8" s="33"/>
      <c r="G8" s="27"/>
      <c r="H8" s="28"/>
      <c r="I8" s="29">
        <f>+(((3500*$Q$2)*$Q$2)*$Q$2)*$Q$2-4</f>
        <v>4250.2718750000004</v>
      </c>
      <c r="J8" s="29"/>
      <c r="K8" s="30">
        <f t="shared" si="0"/>
        <v>4250.2718750000004</v>
      </c>
    </row>
    <row r="9" spans="1:17" s="31" customFormat="1" x14ac:dyDescent="0.2">
      <c r="A9" s="22" t="s">
        <v>20</v>
      </c>
      <c r="B9" s="23">
        <v>15</v>
      </c>
      <c r="C9" s="24" t="s">
        <v>21</v>
      </c>
      <c r="D9" s="25" t="s">
        <v>22</v>
      </c>
      <c r="E9" s="23">
        <v>1938</v>
      </c>
      <c r="F9" s="32"/>
      <c r="G9" s="27"/>
      <c r="H9" s="28"/>
      <c r="I9" s="29"/>
      <c r="J9" s="29">
        <f>+((((6000*Q2)*Q2)*Q2)*Q2)*Q2-8</f>
        <v>7649.6893750000008</v>
      </c>
      <c r="K9" s="30">
        <f t="shared" si="0"/>
        <v>7649.6893750000008</v>
      </c>
    </row>
    <row r="10" spans="1:17" s="31" customFormat="1" x14ac:dyDescent="0.2">
      <c r="A10" s="22" t="s">
        <v>23</v>
      </c>
      <c r="B10" s="23">
        <v>4</v>
      </c>
      <c r="C10" s="24" t="s">
        <v>24</v>
      </c>
      <c r="D10" s="25" t="s">
        <v>25</v>
      </c>
      <c r="E10" s="23">
        <v>1938</v>
      </c>
      <c r="F10" s="32"/>
      <c r="G10" s="27"/>
      <c r="H10" s="28"/>
      <c r="I10" s="29"/>
      <c r="J10" s="29">
        <f>+((((4000*Q2)*Q2)*Q2)*Q2)*Q2-5</f>
        <v>5100.1262500000012</v>
      </c>
      <c r="K10" s="30">
        <f t="shared" si="0"/>
        <v>5100.1262500000012</v>
      </c>
    </row>
    <row r="11" spans="1:17" s="31" customFormat="1" x14ac:dyDescent="0.2">
      <c r="A11" s="22" t="s">
        <v>26</v>
      </c>
      <c r="B11" s="23">
        <v>4</v>
      </c>
      <c r="C11" s="24" t="s">
        <v>27</v>
      </c>
      <c r="D11" s="25" t="s">
        <v>28</v>
      </c>
      <c r="E11" s="23">
        <v>1939</v>
      </c>
      <c r="F11" s="32"/>
      <c r="G11" s="27"/>
      <c r="H11" s="28">
        <f>+((4500*$Q$2)*$Q$2)*$Q$2-9</f>
        <v>5200.3125</v>
      </c>
      <c r="I11" s="29"/>
      <c r="J11" s="29"/>
      <c r="K11" s="30">
        <f t="shared" si="0"/>
        <v>5200.3125</v>
      </c>
    </row>
    <row r="12" spans="1:17" s="34" customFormat="1" x14ac:dyDescent="0.2">
      <c r="A12" s="22" t="s">
        <v>29</v>
      </c>
      <c r="B12" s="23">
        <v>16</v>
      </c>
      <c r="C12" s="24" t="s">
        <v>30</v>
      </c>
      <c r="D12" s="25" t="s">
        <v>31</v>
      </c>
      <c r="E12" s="23">
        <v>1944</v>
      </c>
      <c r="F12" s="33"/>
      <c r="G12" s="27"/>
      <c r="H12" s="28">
        <f>+((2500*$Q$2)*$Q$2)*$Q$2+6</f>
        <v>2900.0625</v>
      </c>
      <c r="I12" s="29"/>
      <c r="J12" s="29"/>
      <c r="K12" s="30">
        <f t="shared" si="0"/>
        <v>2900.0625</v>
      </c>
    </row>
    <row r="13" spans="1:17" s="34" customFormat="1" x14ac:dyDescent="0.2">
      <c r="A13" s="22" t="s">
        <v>32</v>
      </c>
      <c r="B13" s="23">
        <v>11</v>
      </c>
      <c r="C13" s="24" t="s">
        <v>33</v>
      </c>
      <c r="D13" s="25" t="s">
        <v>34</v>
      </c>
      <c r="E13" s="23">
        <v>1946</v>
      </c>
      <c r="F13" s="33"/>
      <c r="G13" s="27"/>
      <c r="H13" s="28"/>
      <c r="I13" s="29"/>
      <c r="J13" s="29">
        <f>+((((8000*$Q$2)*$Q$2)*$Q$2)*$Q$2)*$Q$2-10</f>
        <v>10200.252500000002</v>
      </c>
      <c r="K13" s="30">
        <f t="shared" si="0"/>
        <v>10200.252500000002</v>
      </c>
    </row>
    <row r="14" spans="1:17" s="31" customFormat="1" x14ac:dyDescent="0.2">
      <c r="A14" s="22" t="s">
        <v>35</v>
      </c>
      <c r="B14" s="23"/>
      <c r="C14" s="24" t="s">
        <v>36</v>
      </c>
      <c r="D14" s="25" t="s">
        <v>37</v>
      </c>
      <c r="E14" s="23">
        <v>1947</v>
      </c>
      <c r="F14" s="32"/>
      <c r="G14" s="27"/>
      <c r="H14" s="28"/>
      <c r="I14" s="29"/>
      <c r="J14" s="29">
        <f>+((((2000*$Q$2)*$Q$2)*$Q$2)*$Q$2)*$Q$2-3</f>
        <v>2549.5631250000006</v>
      </c>
      <c r="K14" s="30">
        <f t="shared" si="0"/>
        <v>2549.5631250000006</v>
      </c>
    </row>
    <row r="15" spans="1:17" s="34" customFormat="1" x14ac:dyDescent="0.2">
      <c r="A15" s="22" t="s">
        <v>38</v>
      </c>
      <c r="B15" s="23">
        <v>5</v>
      </c>
      <c r="C15" s="24" t="s">
        <v>39</v>
      </c>
      <c r="D15" s="25" t="s">
        <v>22</v>
      </c>
      <c r="E15" s="23">
        <v>1957</v>
      </c>
      <c r="F15" s="33"/>
      <c r="G15" s="27">
        <f>+(1000*$Q$2)*$Q$2-3</f>
        <v>1099.5</v>
      </c>
      <c r="H15" s="28"/>
      <c r="I15" s="29"/>
      <c r="J15" s="29"/>
      <c r="K15" s="30">
        <f t="shared" si="0"/>
        <v>1099.5</v>
      </c>
    </row>
    <row r="16" spans="1:17" s="34" customFormat="1" x14ac:dyDescent="0.2">
      <c r="A16" s="22" t="s">
        <v>40</v>
      </c>
      <c r="B16" s="23">
        <v>7</v>
      </c>
      <c r="C16" s="24" t="s">
        <v>41</v>
      </c>
      <c r="D16" s="25" t="s">
        <v>42</v>
      </c>
      <c r="E16" s="23">
        <v>1959</v>
      </c>
      <c r="F16" s="33"/>
      <c r="G16" s="27"/>
      <c r="H16" s="28"/>
      <c r="I16" s="29">
        <f>+(((11000*Q2)*Q2)*Q2)*Q2-21</f>
        <v>13349.56875</v>
      </c>
      <c r="J16" s="29"/>
      <c r="K16" s="30">
        <f t="shared" si="0"/>
        <v>13349.56875</v>
      </c>
    </row>
    <row r="17" spans="1:11" s="31" customFormat="1" x14ac:dyDescent="0.2">
      <c r="A17" s="22" t="s">
        <v>43</v>
      </c>
      <c r="B17" s="23">
        <v>8</v>
      </c>
      <c r="C17" s="24" t="s">
        <v>44</v>
      </c>
      <c r="D17" s="25" t="s">
        <v>45</v>
      </c>
      <c r="E17" s="23">
        <v>1960</v>
      </c>
      <c r="F17" s="32"/>
      <c r="G17" s="27"/>
      <c r="H17" s="28"/>
      <c r="I17" s="29">
        <f>+(((15000*Q2)*Q2)*Q2)*Q2+17</f>
        <v>18249.59375</v>
      </c>
      <c r="J17" s="29"/>
      <c r="K17" s="30">
        <f t="shared" si="0"/>
        <v>18249.59375</v>
      </c>
    </row>
    <row r="18" spans="1:11" s="34" customFormat="1" x14ac:dyDescent="0.2">
      <c r="A18" s="22" t="s">
        <v>46</v>
      </c>
      <c r="B18" s="23">
        <v>1</v>
      </c>
      <c r="C18" s="24" t="s">
        <v>47</v>
      </c>
      <c r="D18" s="25" t="s">
        <v>22</v>
      </c>
      <c r="E18" s="23">
        <v>1961</v>
      </c>
      <c r="F18" s="33"/>
      <c r="G18" s="27"/>
      <c r="H18" s="28">
        <f>+((7000*$Q$2)*$Q$2)*$Q$2-3</f>
        <v>8100.375</v>
      </c>
      <c r="I18" s="29"/>
      <c r="J18" s="29"/>
      <c r="K18" s="30">
        <f t="shared" si="0"/>
        <v>8100.375</v>
      </c>
    </row>
    <row r="19" spans="1:11" s="34" customFormat="1" x14ac:dyDescent="0.2">
      <c r="A19" s="22" t="s">
        <v>48</v>
      </c>
      <c r="B19" s="23">
        <v>8</v>
      </c>
      <c r="C19" s="24" t="s">
        <v>49</v>
      </c>
      <c r="D19" s="25" t="s">
        <v>50</v>
      </c>
      <c r="E19" s="23">
        <v>1964</v>
      </c>
      <c r="F19" s="33"/>
      <c r="G19" s="27"/>
      <c r="H19" s="28">
        <f>+((2500*$Q$2)*$Q$2)*$Q$2+6</f>
        <v>2900.0625</v>
      </c>
      <c r="I19" s="29"/>
      <c r="J19" s="29"/>
      <c r="K19" s="30">
        <f t="shared" si="0"/>
        <v>2900.0625</v>
      </c>
    </row>
    <row r="20" spans="1:11" s="34" customFormat="1" x14ac:dyDescent="0.2">
      <c r="A20" s="22" t="s">
        <v>51</v>
      </c>
      <c r="B20" s="23">
        <v>0</v>
      </c>
      <c r="C20" s="24" t="s">
        <v>52</v>
      </c>
      <c r="D20" s="25" t="s">
        <v>53</v>
      </c>
      <c r="E20" s="23">
        <v>1964</v>
      </c>
      <c r="F20" s="33"/>
      <c r="G20" s="27"/>
      <c r="H20" s="28"/>
      <c r="I20" s="29"/>
      <c r="J20" s="29">
        <f>+((((8000*$Q$2)*$Q$2)*$Q$2)*$Q$2)*$Q$2-10</f>
        <v>10200.252500000002</v>
      </c>
      <c r="K20" s="30">
        <f t="shared" si="0"/>
        <v>10200.252500000002</v>
      </c>
    </row>
    <row r="21" spans="1:11" s="34" customFormat="1" x14ac:dyDescent="0.2">
      <c r="A21" s="22" t="s">
        <v>54</v>
      </c>
      <c r="B21" s="23">
        <v>3</v>
      </c>
      <c r="C21" s="35" t="s">
        <v>55</v>
      </c>
      <c r="D21" s="25" t="s">
        <v>22</v>
      </c>
      <c r="E21" s="23">
        <v>1966</v>
      </c>
      <c r="F21" s="33"/>
      <c r="G21" s="27"/>
      <c r="H21" s="28">
        <f>+((1500*$Q$2)*$Q$2)*$Q$2+14</f>
        <v>1750.4375</v>
      </c>
      <c r="I21" s="29"/>
      <c r="J21" s="29"/>
      <c r="K21" s="30">
        <f t="shared" si="0"/>
        <v>1750.4375</v>
      </c>
    </row>
    <row r="22" spans="1:11" s="34" customFormat="1" x14ac:dyDescent="0.2">
      <c r="A22" s="22" t="s">
        <v>56</v>
      </c>
      <c r="B22" s="23">
        <v>3</v>
      </c>
      <c r="C22" s="24" t="s">
        <v>57</v>
      </c>
      <c r="D22" s="25" t="s">
        <v>58</v>
      </c>
      <c r="E22" s="23">
        <v>1977</v>
      </c>
      <c r="F22" s="33"/>
      <c r="G22" s="27"/>
      <c r="H22" s="28"/>
      <c r="I22" s="29">
        <f>+(((7000*Q2)*Q2)*Q2)*Q2-9</f>
        <v>8499.5437500000007</v>
      </c>
      <c r="J22" s="29"/>
      <c r="K22" s="30">
        <f t="shared" si="0"/>
        <v>8499.5437500000007</v>
      </c>
    </row>
    <row r="23" spans="1:11" s="34" customFormat="1" ht="13.5" customHeight="1" x14ac:dyDescent="0.2">
      <c r="A23" s="22" t="s">
        <v>59</v>
      </c>
      <c r="B23" s="23">
        <v>6</v>
      </c>
      <c r="C23" s="24" t="s">
        <v>60</v>
      </c>
      <c r="D23" s="25" t="s">
        <v>31</v>
      </c>
      <c r="E23" s="23">
        <v>1985</v>
      </c>
      <c r="F23" s="33"/>
      <c r="G23" s="27"/>
      <c r="H23" s="28">
        <f>+((1500*$Q$2)*$Q$2)*$Q$2+14</f>
        <v>1750.4375</v>
      </c>
      <c r="I23" s="29"/>
      <c r="J23" s="29"/>
      <c r="K23" s="30">
        <f t="shared" si="0"/>
        <v>1750.4375</v>
      </c>
    </row>
    <row r="24" spans="1:11" s="34" customFormat="1" ht="13.5" customHeight="1" x14ac:dyDescent="0.2">
      <c r="A24" s="22" t="s">
        <v>61</v>
      </c>
      <c r="B24" s="23"/>
      <c r="C24" s="24"/>
      <c r="D24" s="25"/>
      <c r="E24" s="23"/>
      <c r="F24" s="33">
        <v>1000</v>
      </c>
      <c r="G24" s="27">
        <f>+(1000*$Q$2)*$Q$2-3</f>
        <v>1099.5</v>
      </c>
      <c r="H24" s="28">
        <f>+((1000*$Q$2)*$Q$2)*$Q$2-8</f>
        <v>1149.625</v>
      </c>
      <c r="I24" s="29">
        <f>+(((3000*$Q$2)*$Q$2)*$Q$2)*$Q$2+3</f>
        <v>3649.5187500000002</v>
      </c>
      <c r="J24" s="29">
        <f>+((((15000*Q2)*Q2)*Q2)*Q2)*Q2+6</f>
        <v>19150.223437500001</v>
      </c>
      <c r="K24" s="30">
        <f>SUM(F24:J24)+1</f>
        <v>26049.8671875</v>
      </c>
    </row>
    <row r="25" spans="1:11" s="31" customFormat="1" x14ac:dyDescent="0.2">
      <c r="A25" s="22" t="s">
        <v>62</v>
      </c>
      <c r="B25" s="23"/>
      <c r="C25" s="24"/>
      <c r="D25" s="25" t="s">
        <v>63</v>
      </c>
      <c r="E25" s="23"/>
      <c r="F25" s="32">
        <v>1000</v>
      </c>
      <c r="G25" s="27">
        <f>+(1000*$Q$2)*$Q$2-3</f>
        <v>1099.5</v>
      </c>
      <c r="H25" s="28">
        <f>+((2000*$Q$2)*$Q$2)*$Q$2-15</f>
        <v>2300.25</v>
      </c>
      <c r="I25" s="29">
        <f>+(((2000*Q2)*Q2)*Q2)*Q2+19</f>
        <v>2450.0125000000003</v>
      </c>
      <c r="J25" s="29">
        <f>+((((5000*$Q$2)*$Q$2)*$Q$2)*$Q$2)*$Q$2+19</f>
        <v>6400.4078125000005</v>
      </c>
      <c r="K25" s="30">
        <f t="shared" si="0"/>
        <v>13250.170312500002</v>
      </c>
    </row>
    <row r="26" spans="1:11" s="31" customFormat="1" x14ac:dyDescent="0.2">
      <c r="A26" s="36" t="s">
        <v>64</v>
      </c>
      <c r="B26" s="37"/>
      <c r="C26" s="38"/>
      <c r="D26" s="39" t="s">
        <v>65</v>
      </c>
      <c r="E26" s="37"/>
      <c r="F26" s="40"/>
      <c r="G26" s="41">
        <f>+(1500*$Q$2)*$Q$2-4</f>
        <v>1649.75</v>
      </c>
      <c r="H26" s="28">
        <f>+((1500*$Q$2)*$Q$2)*$Q$2+14</f>
        <v>1750.4375</v>
      </c>
      <c r="I26" s="42">
        <f>+(((5000*Q2)*Q2)*Q2)*Q2-28</f>
        <v>6049.53125</v>
      </c>
      <c r="J26" s="29">
        <f>+((((5000*$Q$2)*$Q$2)*$Q$2)*$Q$2)*$Q$2+19</f>
        <v>6400.4078125000005</v>
      </c>
      <c r="K26" s="30">
        <f t="shared" si="0"/>
        <v>15850.126562500001</v>
      </c>
    </row>
    <row r="27" spans="1:11" s="47" customFormat="1" ht="30.75" customHeight="1" x14ac:dyDescent="0.2">
      <c r="A27" s="43" t="s">
        <v>66</v>
      </c>
      <c r="B27" s="44">
        <f>SUM(B5:B26)</f>
        <v>100</v>
      </c>
      <c r="C27" s="45"/>
      <c r="D27" s="43"/>
      <c r="E27" s="44"/>
      <c r="F27" s="46">
        <f t="shared" ref="F27" si="1">SUM(F5:F26)</f>
        <v>6500</v>
      </c>
      <c r="G27" s="46">
        <f>SUM(G5:G26)+3</f>
        <v>7150.25</v>
      </c>
      <c r="H27" s="46">
        <f>SUM(H5:H26)-2</f>
        <v>27800</v>
      </c>
      <c r="I27" s="46">
        <f>SUM(I5:I26)+2</f>
        <v>56500.040624999994</v>
      </c>
      <c r="J27" s="46">
        <f>SUM(J5:J26)-1</f>
        <v>67649.922812500008</v>
      </c>
      <c r="K27" s="46">
        <f>SUM(K5:K26)+1</f>
        <v>165600.2134375</v>
      </c>
    </row>
    <row r="28" spans="1:11" s="52" customFormat="1" x14ac:dyDescent="0.2">
      <c r="A28" s="20" t="s">
        <v>67</v>
      </c>
      <c r="B28" s="18"/>
      <c r="C28" s="48"/>
      <c r="D28" s="49"/>
      <c r="E28" s="18"/>
      <c r="F28" s="49"/>
      <c r="G28" s="50"/>
      <c r="H28" s="51"/>
      <c r="I28" s="51"/>
      <c r="J28" s="51"/>
      <c r="K28" s="51"/>
    </row>
    <row r="29" spans="1:11" s="31" customFormat="1" x14ac:dyDescent="0.2">
      <c r="A29" s="22" t="s">
        <v>68</v>
      </c>
      <c r="B29" s="23">
        <v>0</v>
      </c>
      <c r="C29" s="53" t="s">
        <v>69</v>
      </c>
      <c r="D29" s="54" t="s">
        <v>22</v>
      </c>
      <c r="E29" s="23">
        <v>1970</v>
      </c>
      <c r="F29" s="26">
        <v>2500</v>
      </c>
      <c r="G29" s="28"/>
      <c r="H29" s="28"/>
      <c r="I29" s="28"/>
      <c r="J29" s="28"/>
      <c r="K29" s="55">
        <f>SUM(F29:J29)</f>
        <v>2500</v>
      </c>
    </row>
    <row r="30" spans="1:11" s="31" customFormat="1" x14ac:dyDescent="0.2">
      <c r="A30" s="22" t="s">
        <v>70</v>
      </c>
      <c r="B30" s="23">
        <v>0</v>
      </c>
      <c r="C30" s="53" t="s">
        <v>71</v>
      </c>
      <c r="D30" s="54" t="s">
        <v>22</v>
      </c>
      <c r="E30" s="23">
        <v>1970</v>
      </c>
      <c r="F30" s="26">
        <v>2500</v>
      </c>
      <c r="G30" s="28"/>
      <c r="H30" s="28"/>
      <c r="I30" s="28"/>
      <c r="J30" s="28"/>
      <c r="K30" s="55">
        <f t="shared" ref="K30:K59" si="2">SUM(F30:J30)</f>
        <v>2500</v>
      </c>
    </row>
    <row r="31" spans="1:11" s="31" customFormat="1" x14ac:dyDescent="0.2">
      <c r="A31" s="22" t="s">
        <v>72</v>
      </c>
      <c r="B31" s="23">
        <v>0</v>
      </c>
      <c r="C31" s="53" t="s">
        <v>73</v>
      </c>
      <c r="D31" s="54" t="s">
        <v>22</v>
      </c>
      <c r="E31" s="23">
        <v>1970</v>
      </c>
      <c r="F31" s="26">
        <v>2500</v>
      </c>
      <c r="G31" s="28"/>
      <c r="H31" s="28"/>
      <c r="I31" s="28"/>
      <c r="J31" s="28"/>
      <c r="K31" s="55">
        <f t="shared" si="2"/>
        <v>2500</v>
      </c>
    </row>
    <row r="32" spans="1:11" s="31" customFormat="1" x14ac:dyDescent="0.2">
      <c r="A32" s="22" t="s">
        <v>74</v>
      </c>
      <c r="B32" s="23">
        <v>0</v>
      </c>
      <c r="C32" s="56" t="s">
        <v>75</v>
      </c>
      <c r="D32" s="57" t="s">
        <v>22</v>
      </c>
      <c r="E32" s="23">
        <v>1970</v>
      </c>
      <c r="F32" s="26">
        <v>2500</v>
      </c>
      <c r="G32" s="28"/>
      <c r="H32" s="28"/>
      <c r="I32" s="28"/>
      <c r="J32" s="28"/>
      <c r="K32" s="55">
        <f t="shared" si="2"/>
        <v>2500</v>
      </c>
    </row>
    <row r="33" spans="1:12" s="31" customFormat="1" x14ac:dyDescent="0.2">
      <c r="A33" s="22" t="s">
        <v>76</v>
      </c>
      <c r="B33" s="23">
        <v>0</v>
      </c>
      <c r="C33" s="56" t="s">
        <v>77</v>
      </c>
      <c r="D33" s="57" t="s">
        <v>78</v>
      </c>
      <c r="E33" s="23">
        <v>1970</v>
      </c>
      <c r="F33" s="26">
        <v>2500</v>
      </c>
      <c r="G33" s="28"/>
      <c r="H33" s="28"/>
      <c r="I33" s="28"/>
      <c r="J33" s="28"/>
      <c r="K33" s="55">
        <f t="shared" si="2"/>
        <v>2500</v>
      </c>
    </row>
    <row r="34" spans="1:12" s="31" customFormat="1" x14ac:dyDescent="0.2">
      <c r="A34" s="22" t="s">
        <v>79</v>
      </c>
      <c r="B34" s="23">
        <v>0</v>
      </c>
      <c r="C34" s="56" t="s">
        <v>69</v>
      </c>
      <c r="D34" s="57" t="s">
        <v>78</v>
      </c>
      <c r="E34" s="23">
        <v>1970</v>
      </c>
      <c r="F34" s="26">
        <v>2500</v>
      </c>
      <c r="G34" s="28"/>
      <c r="H34" s="28"/>
      <c r="I34" s="28"/>
      <c r="J34" s="28"/>
      <c r="K34" s="55">
        <f t="shared" si="2"/>
        <v>2500</v>
      </c>
    </row>
    <row r="35" spans="1:12" s="31" customFormat="1" x14ac:dyDescent="0.2">
      <c r="A35" s="22" t="s">
        <v>80</v>
      </c>
      <c r="B35" s="23">
        <v>0</v>
      </c>
      <c r="C35" s="56" t="s">
        <v>71</v>
      </c>
      <c r="D35" s="57" t="s">
        <v>22</v>
      </c>
      <c r="E35" s="23">
        <v>1970</v>
      </c>
      <c r="F35" s="26">
        <v>2500</v>
      </c>
      <c r="G35" s="28"/>
      <c r="H35" s="28"/>
      <c r="I35" s="28"/>
      <c r="J35" s="28"/>
      <c r="K35" s="55">
        <f t="shared" si="2"/>
        <v>2500</v>
      </c>
    </row>
    <row r="36" spans="1:12" ht="15" x14ac:dyDescent="0.25">
      <c r="A36" s="22" t="s">
        <v>80</v>
      </c>
      <c r="B36" s="23">
        <v>0</v>
      </c>
      <c r="C36" s="56" t="s">
        <v>73</v>
      </c>
      <c r="D36" s="57" t="s">
        <v>22</v>
      </c>
      <c r="E36" s="23">
        <v>1970</v>
      </c>
      <c r="F36" s="26">
        <v>2500</v>
      </c>
      <c r="G36" s="28"/>
      <c r="H36" s="28"/>
      <c r="I36" s="28"/>
      <c r="J36" s="28"/>
      <c r="K36" s="55">
        <f t="shared" si="2"/>
        <v>2500</v>
      </c>
      <c r="L36" s="58"/>
    </row>
    <row r="37" spans="1:12" s="34" customFormat="1" x14ac:dyDescent="0.2">
      <c r="A37" s="22" t="s">
        <v>81</v>
      </c>
      <c r="B37" s="23">
        <v>18</v>
      </c>
      <c r="C37" s="56" t="s">
        <v>82</v>
      </c>
      <c r="D37" s="57" t="s">
        <v>83</v>
      </c>
      <c r="E37" s="23">
        <v>1945</v>
      </c>
      <c r="F37" s="26"/>
      <c r="G37" s="28"/>
      <c r="H37" s="28">
        <f>+((3000*$Q$2)*$Q$2)*$Q$2+27</f>
        <v>3499.875</v>
      </c>
      <c r="I37" s="28"/>
      <c r="J37" s="28"/>
      <c r="K37" s="55">
        <f t="shared" si="2"/>
        <v>3499.875</v>
      </c>
    </row>
    <row r="38" spans="1:12" s="52" customFormat="1" x14ac:dyDescent="0.2">
      <c r="A38" s="22" t="s">
        <v>84</v>
      </c>
      <c r="B38" s="23">
        <v>17</v>
      </c>
      <c r="C38" s="56" t="s">
        <v>85</v>
      </c>
      <c r="D38" s="57" t="s">
        <v>86</v>
      </c>
      <c r="E38" s="23">
        <v>1947</v>
      </c>
      <c r="F38" s="26"/>
      <c r="G38" s="28">
        <f>+(2000*Q2)*Q2-5</f>
        <v>2200</v>
      </c>
      <c r="H38" s="28">
        <f>+((15000*Q2)*Q2)*Q2-14</f>
        <v>17350.375</v>
      </c>
      <c r="I38" s="28"/>
      <c r="J38" s="28"/>
      <c r="K38" s="55">
        <f t="shared" si="2"/>
        <v>19550.375</v>
      </c>
    </row>
    <row r="39" spans="1:12" s="34" customFormat="1" x14ac:dyDescent="0.2">
      <c r="A39" s="22" t="s">
        <v>87</v>
      </c>
      <c r="B39" s="23">
        <v>0</v>
      </c>
      <c r="C39" s="53" t="s">
        <v>88</v>
      </c>
      <c r="D39" s="57" t="s">
        <v>89</v>
      </c>
      <c r="E39" s="23">
        <v>1954</v>
      </c>
      <c r="F39" s="26"/>
      <c r="G39" s="28"/>
      <c r="H39" s="28">
        <f>+((3000*$Q$2)*$Q$2)*$Q$2+27</f>
        <v>3499.875</v>
      </c>
      <c r="I39" s="28"/>
      <c r="J39" s="28"/>
      <c r="K39" s="55">
        <f t="shared" si="2"/>
        <v>3499.875</v>
      </c>
    </row>
    <row r="40" spans="1:12" s="34" customFormat="1" x14ac:dyDescent="0.2">
      <c r="A40" s="22" t="s">
        <v>90</v>
      </c>
      <c r="B40" s="23">
        <v>0</v>
      </c>
      <c r="C40" s="56" t="s">
        <v>91</v>
      </c>
      <c r="D40" s="57" t="s">
        <v>92</v>
      </c>
      <c r="E40" s="23">
        <v>1958</v>
      </c>
      <c r="F40" s="59"/>
      <c r="G40" s="28">
        <f>+(1500*$Q$2)*$Q$2-4</f>
        <v>1649.75</v>
      </c>
      <c r="H40" s="28"/>
      <c r="I40" s="28"/>
      <c r="J40" s="28"/>
      <c r="K40" s="55">
        <f t="shared" si="2"/>
        <v>1649.75</v>
      </c>
    </row>
    <row r="41" spans="1:12" s="34" customFormat="1" x14ac:dyDescent="0.2">
      <c r="A41" s="22" t="s">
        <v>93</v>
      </c>
      <c r="B41" s="23">
        <v>0</v>
      </c>
      <c r="C41" s="60" t="s">
        <v>94</v>
      </c>
      <c r="D41" s="57" t="s">
        <v>95</v>
      </c>
      <c r="E41" s="23">
        <v>1958</v>
      </c>
      <c r="F41" s="26"/>
      <c r="G41" s="28"/>
      <c r="H41" s="28"/>
      <c r="I41" s="28">
        <f>+(((4000*Q2)*Q2)*Q2)*Q2-12</f>
        <v>4850.0250000000005</v>
      </c>
      <c r="J41" s="28"/>
      <c r="K41" s="55">
        <f t="shared" si="2"/>
        <v>4850.0250000000005</v>
      </c>
    </row>
    <row r="42" spans="1:12" s="34" customFormat="1" x14ac:dyDescent="0.2">
      <c r="A42" s="22" t="s">
        <v>96</v>
      </c>
      <c r="B42" s="23">
        <v>0</v>
      </c>
      <c r="C42" s="61" t="s">
        <v>97</v>
      </c>
      <c r="D42" s="54" t="s">
        <v>98</v>
      </c>
      <c r="E42" s="23">
        <v>1961</v>
      </c>
      <c r="F42" s="26"/>
      <c r="G42" s="28"/>
      <c r="H42" s="28">
        <f>+((3000*$Q$2)*$Q$2)*$Q$2+27</f>
        <v>3499.875</v>
      </c>
      <c r="I42" s="28"/>
      <c r="J42" s="28"/>
      <c r="K42" s="55">
        <f t="shared" si="2"/>
        <v>3499.875</v>
      </c>
    </row>
    <row r="43" spans="1:12" s="34" customFormat="1" x14ac:dyDescent="0.2">
      <c r="A43" s="22" t="s">
        <v>99</v>
      </c>
      <c r="B43" s="23">
        <v>0</v>
      </c>
      <c r="C43" s="60" t="s">
        <v>100</v>
      </c>
      <c r="D43" s="57" t="s">
        <v>101</v>
      </c>
      <c r="E43" s="23">
        <v>1961</v>
      </c>
      <c r="F43" s="26"/>
      <c r="G43" s="28"/>
      <c r="H43" s="28"/>
      <c r="I43" s="28"/>
      <c r="J43" s="29">
        <f>+((((8000*$Q$2)*$Q$2)*$Q$2)*$Q$2)*$Q$2-10</f>
        <v>10200.252500000002</v>
      </c>
      <c r="K43" s="55">
        <f t="shared" si="2"/>
        <v>10200.252500000002</v>
      </c>
    </row>
    <row r="44" spans="1:12" s="34" customFormat="1" ht="15" x14ac:dyDescent="0.25">
      <c r="A44" s="22" t="s">
        <v>102</v>
      </c>
      <c r="B44" s="23">
        <v>0</v>
      </c>
      <c r="C44" s="61" t="s">
        <v>103</v>
      </c>
      <c r="D44" s="54" t="s">
        <v>104</v>
      </c>
      <c r="E44" s="23">
        <v>1963</v>
      </c>
      <c r="F44" s="26"/>
      <c r="G44" s="28"/>
      <c r="H44" s="28"/>
      <c r="I44" s="29">
        <f>+(((3000*$Q$2)*$Q$2)*$Q$2)*$Q$2+3</f>
        <v>3649.5187500000002</v>
      </c>
      <c r="J44" s="28"/>
      <c r="K44" s="55">
        <f t="shared" si="2"/>
        <v>3649.5187500000002</v>
      </c>
      <c r="L44" s="58"/>
    </row>
    <row r="45" spans="1:12" s="34" customFormat="1" x14ac:dyDescent="0.2">
      <c r="A45" s="22" t="s">
        <v>105</v>
      </c>
      <c r="B45" s="23">
        <v>0</v>
      </c>
      <c r="C45" s="61" t="s">
        <v>106</v>
      </c>
      <c r="D45" s="54" t="s">
        <v>107</v>
      </c>
      <c r="E45" s="23">
        <v>1963</v>
      </c>
      <c r="F45" s="26"/>
      <c r="G45" s="28"/>
      <c r="H45" s="28"/>
      <c r="I45" s="28"/>
      <c r="J45" s="28">
        <f>+((((3000*$Q$2)*$Q$2)*$Q$2)*$Q$2)*$Q$2+21</f>
        <v>3849.8446875000004</v>
      </c>
      <c r="K45" s="55">
        <f t="shared" si="2"/>
        <v>3849.8446875000004</v>
      </c>
    </row>
    <row r="46" spans="1:12" s="34" customFormat="1" x14ac:dyDescent="0.2">
      <c r="A46" s="22" t="s">
        <v>108</v>
      </c>
      <c r="B46" s="23">
        <v>2</v>
      </c>
      <c r="C46" s="61" t="s">
        <v>109</v>
      </c>
      <c r="D46" s="54" t="s">
        <v>110</v>
      </c>
      <c r="E46" s="23">
        <v>1963</v>
      </c>
      <c r="F46" s="26"/>
      <c r="G46" s="28"/>
      <c r="H46" s="28"/>
      <c r="I46" s="28"/>
      <c r="J46" s="28">
        <f>+((((3000*$Q$2)*$Q$2)*$Q$2)*$Q$2)*$Q$2+21</f>
        <v>3849.8446875000004</v>
      </c>
      <c r="K46" s="55">
        <f t="shared" si="2"/>
        <v>3849.8446875000004</v>
      </c>
    </row>
    <row r="47" spans="1:12" s="34" customFormat="1" x14ac:dyDescent="0.2">
      <c r="A47" s="22" t="s">
        <v>111</v>
      </c>
      <c r="B47" s="23">
        <v>0</v>
      </c>
      <c r="C47" s="56" t="s">
        <v>112</v>
      </c>
      <c r="D47" s="57" t="s">
        <v>113</v>
      </c>
      <c r="E47" s="23">
        <v>1963</v>
      </c>
      <c r="F47" s="59"/>
      <c r="G47" s="28"/>
      <c r="H47" s="28">
        <f>+((1000*$Q$2)*$Q$2)*$Q$2-8</f>
        <v>1149.625</v>
      </c>
      <c r="I47" s="28"/>
      <c r="J47" s="28"/>
      <c r="K47" s="55">
        <f t="shared" si="2"/>
        <v>1149.625</v>
      </c>
    </row>
    <row r="48" spans="1:12" s="34" customFormat="1" x14ac:dyDescent="0.2">
      <c r="A48" s="22" t="s">
        <v>114</v>
      </c>
      <c r="B48" s="23">
        <v>0</v>
      </c>
      <c r="C48" s="53" t="s">
        <v>115</v>
      </c>
      <c r="D48" s="57" t="s">
        <v>116</v>
      </c>
      <c r="E48" s="23">
        <v>1964</v>
      </c>
      <c r="F48" s="26"/>
      <c r="G48" s="62"/>
      <c r="H48" s="62"/>
      <c r="I48" s="29">
        <f>+(((3000*$Q$2)*$Q$2)*$Q$2)*$Q$2+3</f>
        <v>3649.5187500000002</v>
      </c>
      <c r="J48" s="62"/>
      <c r="K48" s="55">
        <f t="shared" si="2"/>
        <v>3649.5187500000002</v>
      </c>
    </row>
    <row r="49" spans="1:11" s="34" customFormat="1" x14ac:dyDescent="0.2">
      <c r="A49" s="22" t="s">
        <v>117</v>
      </c>
      <c r="B49" s="23">
        <v>0</v>
      </c>
      <c r="C49" s="53" t="s">
        <v>118</v>
      </c>
      <c r="D49" s="54" t="s">
        <v>119</v>
      </c>
      <c r="E49" s="23">
        <v>1964</v>
      </c>
      <c r="F49" s="26"/>
      <c r="G49" s="28"/>
      <c r="H49" s="28"/>
      <c r="I49" s="28"/>
      <c r="J49" s="28">
        <f>+((((3000*$Q$2)*$Q$2)*$Q$2)*$Q$2)*$Q$2+21</f>
        <v>3849.8446875000004</v>
      </c>
      <c r="K49" s="55">
        <f t="shared" si="2"/>
        <v>3849.8446875000004</v>
      </c>
    </row>
    <row r="50" spans="1:11" s="31" customFormat="1" x14ac:dyDescent="0.2">
      <c r="A50" s="22" t="s">
        <v>120</v>
      </c>
      <c r="B50" s="23">
        <v>1</v>
      </c>
      <c r="C50" s="56" t="s">
        <v>121</v>
      </c>
      <c r="D50" s="57" t="s">
        <v>122</v>
      </c>
      <c r="E50" s="23">
        <v>1965</v>
      </c>
      <c r="F50" s="26"/>
      <c r="G50" s="28"/>
      <c r="H50" s="28"/>
      <c r="I50" s="28"/>
      <c r="J50" s="28">
        <f>+((((500*$Q$2)*$Q$2)*$Q$2)*$Q$2)*Q2+12</f>
        <v>650.14078125000015</v>
      </c>
      <c r="K50" s="55">
        <f t="shared" si="2"/>
        <v>650.14078125000015</v>
      </c>
    </row>
    <row r="51" spans="1:11" s="31" customFormat="1" x14ac:dyDescent="0.2">
      <c r="A51" s="22" t="s">
        <v>123</v>
      </c>
      <c r="B51" s="23">
        <v>0</v>
      </c>
      <c r="C51" s="56" t="s">
        <v>124</v>
      </c>
      <c r="D51" s="57" t="s">
        <v>125</v>
      </c>
      <c r="E51" s="23">
        <v>1966</v>
      </c>
      <c r="F51" s="59"/>
      <c r="G51" s="27">
        <f>+(1000*$Q$2)*$Q$2-3</f>
        <v>1099.5</v>
      </c>
      <c r="H51" s="28">
        <f>+((1000*$Q$2)*$Q$2)*$Q$2-8</f>
        <v>1149.625</v>
      </c>
      <c r="I51" s="28"/>
      <c r="J51" s="28"/>
      <c r="K51" s="55">
        <f t="shared" si="2"/>
        <v>2249.125</v>
      </c>
    </row>
    <row r="52" spans="1:11" s="31" customFormat="1" x14ac:dyDescent="0.2">
      <c r="A52" s="22" t="s">
        <v>126</v>
      </c>
      <c r="B52" s="23">
        <v>0</v>
      </c>
      <c r="C52" s="56" t="s">
        <v>127</v>
      </c>
      <c r="D52" s="57" t="s">
        <v>128</v>
      </c>
      <c r="E52" s="23">
        <v>1966</v>
      </c>
      <c r="F52" s="26"/>
      <c r="G52" s="28"/>
      <c r="H52" s="28">
        <f>+((2000*$Q$2)*$Q$2)*$Q$2-15</f>
        <v>2300.25</v>
      </c>
      <c r="I52" s="28"/>
      <c r="J52" s="28"/>
      <c r="K52" s="55">
        <f t="shared" si="2"/>
        <v>2300.25</v>
      </c>
    </row>
    <row r="53" spans="1:11" s="31" customFormat="1" x14ac:dyDescent="0.2">
      <c r="A53" s="22" t="s">
        <v>129</v>
      </c>
      <c r="B53" s="23">
        <v>0</v>
      </c>
      <c r="C53" s="56" t="s">
        <v>130</v>
      </c>
      <c r="D53" s="57" t="s">
        <v>22</v>
      </c>
      <c r="E53" s="23">
        <v>1967</v>
      </c>
      <c r="F53" s="26"/>
      <c r="G53" s="28"/>
      <c r="H53" s="28">
        <f>+((2000*$Q$2)*$Q$2)*$Q$2-15</f>
        <v>2300.25</v>
      </c>
      <c r="I53" s="28"/>
      <c r="J53" s="28"/>
      <c r="K53" s="55">
        <f t="shared" si="2"/>
        <v>2300.25</v>
      </c>
    </row>
    <row r="54" spans="1:11" s="31" customFormat="1" x14ac:dyDescent="0.2">
      <c r="A54" s="22" t="s">
        <v>131</v>
      </c>
      <c r="B54" s="23">
        <v>1</v>
      </c>
      <c r="C54" s="56" t="s">
        <v>132</v>
      </c>
      <c r="D54" s="57" t="s">
        <v>22</v>
      </c>
      <c r="E54" s="23">
        <v>1968</v>
      </c>
      <c r="F54" s="26"/>
      <c r="G54" s="28"/>
      <c r="H54" s="28">
        <f>+((2000*$Q$2)*$Q$2)*$Q$2-15</f>
        <v>2300.25</v>
      </c>
      <c r="I54" s="28"/>
      <c r="J54" s="28"/>
      <c r="K54" s="55">
        <f t="shared" si="2"/>
        <v>2300.25</v>
      </c>
    </row>
    <row r="55" spans="1:11" s="31" customFormat="1" x14ac:dyDescent="0.2">
      <c r="A55" s="22" t="s">
        <v>133</v>
      </c>
      <c r="B55" s="23">
        <v>4</v>
      </c>
      <c r="C55" s="53" t="s">
        <v>134</v>
      </c>
      <c r="D55" s="54" t="s">
        <v>135</v>
      </c>
      <c r="E55" s="23">
        <v>1969</v>
      </c>
      <c r="F55" s="26"/>
      <c r="G55" s="28"/>
      <c r="H55" s="26"/>
      <c r="I55" s="28"/>
      <c r="J55" s="28">
        <f>+((((12000*Q2)*Q2)*Q2)*Q2)*Q2-15+500</f>
        <v>15800.378750000002</v>
      </c>
      <c r="K55" s="55">
        <f t="shared" si="2"/>
        <v>15800.378750000002</v>
      </c>
    </row>
    <row r="56" spans="1:11" s="31" customFormat="1" x14ac:dyDescent="0.2">
      <c r="A56" s="22" t="s">
        <v>136</v>
      </c>
      <c r="B56" s="23">
        <v>1</v>
      </c>
      <c r="C56" s="56" t="s">
        <v>137</v>
      </c>
      <c r="D56" s="57" t="s">
        <v>138</v>
      </c>
      <c r="E56" s="23">
        <v>1969</v>
      </c>
      <c r="F56" s="26"/>
      <c r="G56" s="28">
        <f>+(3500*$Q$2)*$Q$2+41</f>
        <v>3899.75</v>
      </c>
      <c r="H56" s="28"/>
      <c r="I56" s="28"/>
      <c r="J56" s="28"/>
      <c r="K56" s="55">
        <f t="shared" si="2"/>
        <v>3899.75</v>
      </c>
    </row>
    <row r="57" spans="1:11" s="31" customFormat="1" x14ac:dyDescent="0.2">
      <c r="A57" s="22" t="s">
        <v>139</v>
      </c>
      <c r="B57" s="23">
        <v>1</v>
      </c>
      <c r="C57" s="56" t="s">
        <v>140</v>
      </c>
      <c r="D57" s="57" t="s">
        <v>141</v>
      </c>
      <c r="E57" s="23">
        <v>1969</v>
      </c>
      <c r="F57" s="26"/>
      <c r="G57" s="28">
        <f>+(3500*$Q$2)*$Q$2+41</f>
        <v>3899.75</v>
      </c>
      <c r="H57" s="28"/>
      <c r="I57" s="28"/>
      <c r="J57" s="28"/>
      <c r="K57" s="55">
        <f t="shared" si="2"/>
        <v>3899.75</v>
      </c>
    </row>
    <row r="58" spans="1:11" s="31" customFormat="1" x14ac:dyDescent="0.2">
      <c r="A58" s="22" t="s">
        <v>142</v>
      </c>
      <c r="B58" s="23">
        <v>3</v>
      </c>
      <c r="C58" s="56" t="s">
        <v>143</v>
      </c>
      <c r="D58" s="57" t="s">
        <v>144</v>
      </c>
      <c r="E58" s="23">
        <v>1970</v>
      </c>
      <c r="F58" s="26"/>
      <c r="G58" s="28">
        <f>+(3000*$Q$2)*$Q$2-8</f>
        <v>3299.5</v>
      </c>
      <c r="H58" s="28"/>
      <c r="I58" s="28"/>
      <c r="J58" s="28"/>
      <c r="K58" s="55">
        <f t="shared" si="2"/>
        <v>3299.5</v>
      </c>
    </row>
    <row r="59" spans="1:11" s="31" customFormat="1" x14ac:dyDescent="0.2">
      <c r="A59" s="22" t="s">
        <v>145</v>
      </c>
      <c r="B59" s="23">
        <v>2</v>
      </c>
      <c r="C59" s="56" t="s">
        <v>146</v>
      </c>
      <c r="D59" s="57" t="s">
        <v>147</v>
      </c>
      <c r="E59" s="23">
        <v>1970</v>
      </c>
      <c r="F59" s="26"/>
      <c r="G59" s="27">
        <f>+(1000*$Q$2)*$Q$2-3</f>
        <v>1099.5</v>
      </c>
      <c r="H59" s="28"/>
      <c r="I59" s="28"/>
      <c r="J59" s="28"/>
      <c r="K59" s="55">
        <f t="shared" si="2"/>
        <v>1099.5</v>
      </c>
    </row>
    <row r="60" spans="1:11" s="63" customFormat="1" ht="30.75" customHeight="1" x14ac:dyDescent="0.2">
      <c r="A60" s="43" t="s">
        <v>148</v>
      </c>
      <c r="B60" s="44">
        <f>SUM(B29:B59)</f>
        <v>50</v>
      </c>
      <c r="C60" s="45"/>
      <c r="D60" s="43"/>
      <c r="E60" s="44"/>
      <c r="F60" s="46">
        <f>SUM(F29:F59)</f>
        <v>20000</v>
      </c>
      <c r="G60" s="46">
        <f>SUM(G29:G59)+2</f>
        <v>17149.75</v>
      </c>
      <c r="H60" s="46">
        <f>SUM(H29:H59)</f>
        <v>37050</v>
      </c>
      <c r="I60" s="46">
        <f>SUM(I29:I59)+1</f>
        <v>12150.0625</v>
      </c>
      <c r="J60" s="46">
        <f>SUM(J29:J59)</f>
        <v>38200.306093750005</v>
      </c>
      <c r="K60" s="46">
        <f>SUM(F60:J60)</f>
        <v>124550.11859375</v>
      </c>
    </row>
    <row r="61" spans="1:11" s="52" customFormat="1" x14ac:dyDescent="0.2">
      <c r="A61" s="20" t="s">
        <v>149</v>
      </c>
      <c r="B61" s="17"/>
      <c r="C61" s="64"/>
      <c r="D61" s="65"/>
      <c r="E61" s="49"/>
      <c r="F61" s="49"/>
      <c r="G61" s="50"/>
      <c r="H61" s="50"/>
      <c r="I61" s="50"/>
      <c r="J61" s="50"/>
      <c r="K61" s="50"/>
    </row>
    <row r="62" spans="1:11" s="34" customFormat="1" x14ac:dyDescent="0.2">
      <c r="A62" s="22" t="s">
        <v>150</v>
      </c>
      <c r="B62" s="23">
        <v>1</v>
      </c>
      <c r="C62" s="61" t="s">
        <v>151</v>
      </c>
      <c r="D62" s="57" t="s">
        <v>152</v>
      </c>
      <c r="E62" s="66">
        <v>1973</v>
      </c>
      <c r="F62" s="26">
        <v>2500</v>
      </c>
      <c r="G62" s="28"/>
      <c r="H62" s="28"/>
      <c r="I62" s="28"/>
      <c r="J62" s="28">
        <f>+((((2500*Q2)*Q2)*Q2)*Q2)*Q2+9</f>
        <v>3199.7039062500003</v>
      </c>
      <c r="K62" s="55">
        <f>SUM(F62:J62)</f>
        <v>5699.7039062500007</v>
      </c>
    </row>
    <row r="63" spans="1:11" s="34" customFormat="1" x14ac:dyDescent="0.2">
      <c r="A63" s="22" t="s">
        <v>153</v>
      </c>
      <c r="B63" s="23">
        <v>1</v>
      </c>
      <c r="C63" s="61" t="s">
        <v>154</v>
      </c>
      <c r="D63" s="57" t="s">
        <v>155</v>
      </c>
      <c r="E63" s="23">
        <v>1969</v>
      </c>
      <c r="F63" s="27">
        <v>1000</v>
      </c>
      <c r="G63" s="27"/>
      <c r="H63" s="67"/>
      <c r="I63" s="67"/>
      <c r="J63" s="28">
        <f>+((((1000*$Q$2)*$Q$2)*$Q$2)*$Q$2)*$Q$2-26</f>
        <v>1250.2815625000003</v>
      </c>
      <c r="K63" s="55">
        <f t="shared" ref="K63:K79" si="3">SUM(F63:J63)</f>
        <v>2250.2815625000003</v>
      </c>
    </row>
    <row r="64" spans="1:11" s="34" customFormat="1" x14ac:dyDescent="0.2">
      <c r="A64" s="22" t="s">
        <v>156</v>
      </c>
      <c r="B64" s="23">
        <v>8</v>
      </c>
      <c r="C64" s="61" t="s">
        <v>157</v>
      </c>
      <c r="D64" s="57" t="s">
        <v>158</v>
      </c>
      <c r="E64" s="23" t="s">
        <v>159</v>
      </c>
      <c r="F64" s="26"/>
      <c r="G64" s="28"/>
      <c r="H64" s="28"/>
      <c r="I64" s="67"/>
      <c r="J64" s="28">
        <f>+((((10000*Q2)*Q2)*Q2)*Q2)*Q2-13</f>
        <v>12749.815625000001</v>
      </c>
      <c r="K64" s="55">
        <f t="shared" si="3"/>
        <v>12749.815625000001</v>
      </c>
    </row>
    <row r="65" spans="1:11" s="34" customFormat="1" x14ac:dyDescent="0.2">
      <c r="A65" s="22" t="s">
        <v>160</v>
      </c>
      <c r="B65" s="23">
        <v>0</v>
      </c>
      <c r="C65" s="61" t="s">
        <v>161</v>
      </c>
      <c r="D65" s="57" t="s">
        <v>162</v>
      </c>
      <c r="E65" s="23">
        <v>1943</v>
      </c>
      <c r="F65" s="27"/>
      <c r="G65" s="27"/>
      <c r="H65" s="28">
        <f>+((1000*$Q$2)*$Q$2)*$Q$2-8</f>
        <v>1149.625</v>
      </c>
      <c r="I65" s="67"/>
      <c r="J65" s="28">
        <f>+((((1000*$Q$2)*$Q$2)*$Q$2)*$Q$2)*$Q$2-26</f>
        <v>1250.2815625000003</v>
      </c>
      <c r="K65" s="55">
        <f t="shared" si="3"/>
        <v>2399.9065625000003</v>
      </c>
    </row>
    <row r="66" spans="1:11" s="34" customFormat="1" x14ac:dyDescent="0.2">
      <c r="A66" s="22" t="s">
        <v>163</v>
      </c>
      <c r="B66" s="23" t="s">
        <v>164</v>
      </c>
      <c r="C66" s="61"/>
      <c r="D66" s="57" t="s">
        <v>165</v>
      </c>
      <c r="E66" s="23">
        <v>1960</v>
      </c>
      <c r="F66" s="27"/>
      <c r="G66" s="28">
        <f>+(3000*$Q$2)*$Q$2-8</f>
        <v>3299.5</v>
      </c>
      <c r="H66" s="28">
        <f>+((3000*$Q$2)*$Q$2)*$Q$2+27</f>
        <v>3499.875</v>
      </c>
      <c r="I66" s="29">
        <f>+(((3000*$Q$2)*$Q$2)*$Q$2)*$Q$2+3</f>
        <v>3649.5187500000002</v>
      </c>
      <c r="J66" s="28">
        <f>+((((3000*$Q$2)*$Q$2)*$Q$2)*$Q$2)*$Q$2+21</f>
        <v>3849.8446875000004</v>
      </c>
      <c r="K66" s="55">
        <f>SUM(F66:J66)+1</f>
        <v>14299.7384375</v>
      </c>
    </row>
    <row r="67" spans="1:11" s="34" customFormat="1" x14ac:dyDescent="0.2">
      <c r="A67" s="22" t="s">
        <v>166</v>
      </c>
      <c r="B67" s="23">
        <v>2</v>
      </c>
      <c r="C67" s="61" t="s">
        <v>167</v>
      </c>
      <c r="D67" s="57" t="s">
        <v>168</v>
      </c>
      <c r="E67" s="23">
        <v>1966</v>
      </c>
      <c r="F67" s="27"/>
      <c r="G67" s="27"/>
      <c r="H67" s="67"/>
      <c r="I67" s="67"/>
      <c r="J67" s="29">
        <f>+((((2000*$Q$2)*$Q$2)*$Q$2)*$Q$2)*$Q$2-3</f>
        <v>2549.5631250000006</v>
      </c>
      <c r="K67" s="55">
        <f t="shared" si="3"/>
        <v>2549.5631250000006</v>
      </c>
    </row>
    <row r="68" spans="1:11" s="34" customFormat="1" x14ac:dyDescent="0.2">
      <c r="A68" s="22" t="s">
        <v>169</v>
      </c>
      <c r="B68" s="23">
        <v>1</v>
      </c>
      <c r="C68" s="61" t="s">
        <v>170</v>
      </c>
      <c r="D68" s="57" t="s">
        <v>171</v>
      </c>
      <c r="E68" s="23">
        <v>1966</v>
      </c>
      <c r="F68" s="27"/>
      <c r="G68" s="27"/>
      <c r="H68" s="67"/>
      <c r="I68" s="67"/>
      <c r="J68" s="29">
        <f>+((((2000*$Q$2)*$Q$2)*$Q$2)*$Q$2)*$Q$2-3</f>
        <v>2549.5631250000006</v>
      </c>
      <c r="K68" s="55">
        <f t="shared" si="3"/>
        <v>2549.5631250000006</v>
      </c>
    </row>
    <row r="69" spans="1:11" s="34" customFormat="1" x14ac:dyDescent="0.2">
      <c r="A69" s="22" t="s">
        <v>172</v>
      </c>
      <c r="B69" s="23">
        <v>0</v>
      </c>
      <c r="C69" s="61" t="s">
        <v>173</v>
      </c>
      <c r="D69" s="57" t="s">
        <v>174</v>
      </c>
      <c r="E69" s="23">
        <v>1967</v>
      </c>
      <c r="F69" s="27"/>
      <c r="G69" s="27"/>
      <c r="H69" s="67"/>
      <c r="I69" s="67"/>
      <c r="J69" s="29">
        <f>+((((2000*$Q$2)*$Q$2)*$Q$2)*$Q$2)*$Q$2-3</f>
        <v>2549.5631250000006</v>
      </c>
      <c r="K69" s="55">
        <f t="shared" si="3"/>
        <v>2549.5631250000006</v>
      </c>
    </row>
    <row r="70" spans="1:11" s="34" customFormat="1" x14ac:dyDescent="0.2">
      <c r="A70" s="22" t="s">
        <v>175</v>
      </c>
      <c r="B70" s="23">
        <v>0</v>
      </c>
      <c r="C70" s="61" t="s">
        <v>154</v>
      </c>
      <c r="D70" s="57" t="s">
        <v>176</v>
      </c>
      <c r="E70" s="23">
        <v>1969</v>
      </c>
      <c r="F70" s="27"/>
      <c r="G70" s="27"/>
      <c r="H70" s="67"/>
      <c r="I70" s="67"/>
      <c r="J70" s="28">
        <f>+((((1000*$Q$2)*$Q$2)*$Q$2)*$Q$2)*$Q$2-26</f>
        <v>1250.2815625000003</v>
      </c>
      <c r="K70" s="55">
        <f t="shared" si="3"/>
        <v>1250.2815625000003</v>
      </c>
    </row>
    <row r="71" spans="1:11" s="34" customFormat="1" x14ac:dyDescent="0.2">
      <c r="A71" s="22" t="s">
        <v>177</v>
      </c>
      <c r="B71" s="23">
        <v>0</v>
      </c>
      <c r="C71" s="61" t="s">
        <v>178</v>
      </c>
      <c r="D71" s="57" t="s">
        <v>179</v>
      </c>
      <c r="E71" s="23">
        <v>1972</v>
      </c>
      <c r="F71" s="27"/>
      <c r="G71" s="27"/>
      <c r="H71" s="67"/>
      <c r="I71" s="67"/>
      <c r="J71" s="29">
        <f>+((((2000*$Q$2)*$Q$2)*$Q$2)*$Q$2)*$Q$2-3</f>
        <v>2549.5631250000006</v>
      </c>
      <c r="K71" s="55">
        <f t="shared" si="3"/>
        <v>2549.5631250000006</v>
      </c>
    </row>
    <row r="72" spans="1:11" s="34" customFormat="1" x14ac:dyDescent="0.2">
      <c r="A72" s="22" t="s">
        <v>180</v>
      </c>
      <c r="B72" s="23">
        <v>1</v>
      </c>
      <c r="C72" s="61" t="s">
        <v>181</v>
      </c>
      <c r="D72" s="57" t="s">
        <v>182</v>
      </c>
      <c r="E72" s="23">
        <v>1972</v>
      </c>
      <c r="F72" s="27"/>
      <c r="G72" s="27"/>
      <c r="H72" s="67"/>
      <c r="I72" s="67"/>
      <c r="J72" s="29">
        <f>+((((2000*$Q$2)*$Q$2)*$Q$2)*$Q$2)*$Q$2-3</f>
        <v>2549.5631250000006</v>
      </c>
      <c r="K72" s="55">
        <f t="shared" si="3"/>
        <v>2549.5631250000006</v>
      </c>
    </row>
    <row r="73" spans="1:11" s="34" customFormat="1" x14ac:dyDescent="0.2">
      <c r="A73" s="22" t="s">
        <v>183</v>
      </c>
      <c r="B73" s="23">
        <v>0</v>
      </c>
      <c r="C73" s="61" t="s">
        <v>184</v>
      </c>
      <c r="D73" s="57" t="s">
        <v>185</v>
      </c>
      <c r="E73" s="23">
        <v>1973</v>
      </c>
      <c r="F73" s="27"/>
      <c r="G73" s="27"/>
      <c r="H73" s="67"/>
      <c r="I73" s="67"/>
      <c r="J73" s="28">
        <f>+((((3000*$Q$2)*$Q$2)*$Q$2)*$Q$2)*$Q$2+21</f>
        <v>3849.8446875000004</v>
      </c>
      <c r="K73" s="55">
        <f t="shared" si="3"/>
        <v>3849.8446875000004</v>
      </c>
    </row>
    <row r="74" spans="1:11" s="34" customFormat="1" x14ac:dyDescent="0.2">
      <c r="A74" s="22" t="s">
        <v>186</v>
      </c>
      <c r="B74" s="23">
        <v>2</v>
      </c>
      <c r="C74" s="61" t="s">
        <v>187</v>
      </c>
      <c r="D74" s="57" t="s">
        <v>188</v>
      </c>
      <c r="E74" s="23">
        <v>1973</v>
      </c>
      <c r="F74" s="27"/>
      <c r="G74" s="27"/>
      <c r="H74" s="67"/>
      <c r="I74" s="67"/>
      <c r="J74" s="28">
        <f>+((((1000*$Q$2)*$Q$2)*$Q$2)*$Q$2)*$Q$2-26</f>
        <v>1250.2815625000003</v>
      </c>
      <c r="K74" s="55">
        <f t="shared" si="3"/>
        <v>1250.2815625000003</v>
      </c>
    </row>
    <row r="75" spans="1:11" s="34" customFormat="1" x14ac:dyDescent="0.2">
      <c r="A75" s="22" t="s">
        <v>189</v>
      </c>
      <c r="B75" s="23">
        <v>1</v>
      </c>
      <c r="C75" s="61" t="s">
        <v>190</v>
      </c>
      <c r="D75" s="57" t="s">
        <v>191</v>
      </c>
      <c r="E75" s="23">
        <v>1974</v>
      </c>
      <c r="F75" s="27"/>
      <c r="G75" s="28"/>
      <c r="H75" s="28"/>
      <c r="I75" s="28"/>
      <c r="J75" s="29">
        <f>+((((5000*$Q$2)*$Q$2)*$Q$2)*$Q$2)*$Q$2+19</f>
        <v>6400.4078125000005</v>
      </c>
      <c r="K75" s="55">
        <f t="shared" si="3"/>
        <v>6400.4078125000005</v>
      </c>
    </row>
    <row r="76" spans="1:11" s="34" customFormat="1" x14ac:dyDescent="0.2">
      <c r="A76" s="22" t="s">
        <v>192</v>
      </c>
      <c r="B76" s="23">
        <v>0</v>
      </c>
      <c r="C76" s="61" t="s">
        <v>193</v>
      </c>
      <c r="D76" s="57" t="s">
        <v>194</v>
      </c>
      <c r="E76" s="23">
        <v>1975</v>
      </c>
      <c r="F76" s="27"/>
      <c r="G76" s="27"/>
      <c r="H76" s="67"/>
      <c r="I76" s="28">
        <f>+(((500*$Q$2)*$Q$2)*$Q$2)*$Q$2-8</f>
        <v>599.75312500000007</v>
      </c>
      <c r="J76" s="28"/>
      <c r="K76" s="55">
        <f t="shared" si="3"/>
        <v>599.75312500000007</v>
      </c>
    </row>
    <row r="77" spans="1:11" s="34" customFormat="1" x14ac:dyDescent="0.2">
      <c r="A77" s="22" t="s">
        <v>195</v>
      </c>
      <c r="B77" s="23">
        <v>0</v>
      </c>
      <c r="C77" s="61"/>
      <c r="D77" s="57" t="s">
        <v>196</v>
      </c>
      <c r="E77" s="23">
        <v>1975</v>
      </c>
      <c r="F77" s="27"/>
      <c r="G77" s="28"/>
      <c r="H77" s="67"/>
      <c r="I77" s="67"/>
      <c r="J77" s="28">
        <f>+((((1500*$Q$2)*$Q$2)*$Q$2)*$Q$2)*$Q$2-14</f>
        <v>1900.4223437500002</v>
      </c>
      <c r="K77" s="55">
        <f t="shared" si="3"/>
        <v>1900.4223437500002</v>
      </c>
    </row>
    <row r="78" spans="1:11" s="34" customFormat="1" x14ac:dyDescent="0.2">
      <c r="A78" s="22" t="s">
        <v>197</v>
      </c>
      <c r="B78" s="23">
        <v>0</v>
      </c>
      <c r="C78" s="61" t="s">
        <v>198</v>
      </c>
      <c r="D78" s="57" t="s">
        <v>199</v>
      </c>
      <c r="E78" s="23">
        <v>1977</v>
      </c>
      <c r="F78" s="27"/>
      <c r="G78" s="28"/>
      <c r="H78" s="67"/>
      <c r="I78" s="67"/>
      <c r="J78" s="28">
        <f>+((((1500*$Q$2)*$Q$2)*$Q$2)*$Q$2)*$Q$2-14</f>
        <v>1900.4223437500002</v>
      </c>
      <c r="K78" s="55">
        <f t="shared" si="3"/>
        <v>1900.4223437500002</v>
      </c>
    </row>
    <row r="79" spans="1:11" s="34" customFormat="1" x14ac:dyDescent="0.2">
      <c r="A79" s="68" t="s">
        <v>200</v>
      </c>
      <c r="B79" s="37">
        <v>7</v>
      </c>
      <c r="C79" s="69" t="s">
        <v>201</v>
      </c>
      <c r="D79" s="70" t="s">
        <v>202</v>
      </c>
      <c r="E79" s="37">
        <v>1977</v>
      </c>
      <c r="F79" s="41"/>
      <c r="G79" s="41"/>
      <c r="H79" s="71"/>
      <c r="I79" s="71"/>
      <c r="J79" s="29">
        <f>+((((2000*$Q$2)*$Q$2)*$Q$2)*$Q$2)*$Q$2-3</f>
        <v>2549.5631250000006</v>
      </c>
      <c r="K79" s="55">
        <f t="shared" si="3"/>
        <v>2549.5631250000006</v>
      </c>
    </row>
    <row r="80" spans="1:11" s="63" customFormat="1" ht="30.75" customHeight="1" x14ac:dyDescent="0.2">
      <c r="A80" s="43" t="s">
        <v>203</v>
      </c>
      <c r="B80" s="44">
        <f>SUM(B62:B79)</f>
        <v>24</v>
      </c>
      <c r="C80" s="45"/>
      <c r="D80" s="43"/>
      <c r="E80" s="44"/>
      <c r="F80" s="46">
        <f>SUM(F62:F79)</f>
        <v>3500</v>
      </c>
      <c r="G80" s="46">
        <f>SUM(G62:G79)</f>
        <v>3299.5</v>
      </c>
      <c r="H80" s="46">
        <f>SUM(H62:H79)</f>
        <v>4649.5</v>
      </c>
      <c r="I80" s="46">
        <f>SUM(I62:I79)+1</f>
        <v>4250.2718750000004</v>
      </c>
      <c r="J80" s="46">
        <f>SUM(J62:J79)+1</f>
        <v>54149.966406250001</v>
      </c>
      <c r="K80" s="46">
        <f>SUM(F80:J80)+1</f>
        <v>69850.23828125</v>
      </c>
    </row>
    <row r="81" spans="1:11" s="47" customFormat="1" ht="32.25" customHeight="1" x14ac:dyDescent="0.2">
      <c r="A81" s="72" t="s">
        <v>204</v>
      </c>
      <c r="B81" s="73">
        <f>B80+B60+B27</f>
        <v>174</v>
      </c>
      <c r="C81" s="74"/>
      <c r="D81" s="74"/>
      <c r="E81" s="73"/>
      <c r="F81" s="75">
        <f>F80+F60+F27</f>
        <v>30000</v>
      </c>
      <c r="G81" s="75">
        <f>G80+G60+G27</f>
        <v>27599.5</v>
      </c>
      <c r="H81" s="75">
        <f>H80+H60+H27</f>
        <v>69499.5</v>
      </c>
      <c r="I81" s="75">
        <f>I80+I60+I27</f>
        <v>72900.375</v>
      </c>
      <c r="J81" s="75">
        <f>J80+J60+J27</f>
        <v>160000.1953125</v>
      </c>
      <c r="K81" s="75">
        <f>SUM(F81:J81)</f>
        <v>359999.5703125</v>
      </c>
    </row>
    <row r="82" spans="1:11" x14ac:dyDescent="0.2">
      <c r="A82" s="76"/>
      <c r="C82" s="77"/>
      <c r="E82" s="4"/>
      <c r="G82" s="1"/>
    </row>
    <row r="83" spans="1:11" x14ac:dyDescent="0.2">
      <c r="B83" s="78"/>
      <c r="C83" s="79"/>
      <c r="D83" s="80"/>
      <c r="F83" s="81"/>
      <c r="G83" s="81"/>
      <c r="H83" s="81"/>
      <c r="I83" s="81"/>
      <c r="J83" s="81"/>
      <c r="K83" s="81"/>
    </row>
    <row r="85" spans="1:11" x14ac:dyDescent="0.2">
      <c r="G85" s="47"/>
      <c r="K85" s="1"/>
    </row>
  </sheetData>
  <pageMargins left="0.43307086614173229" right="0.35" top="0.98425196850393704" bottom="0.98425196850393704" header="0.51181102362204722" footer="0.51181102362204722"/>
  <pageSetup paperSize="9" scale="74" fitToHeight="7" orientation="landscape" r:id="rId1"/>
  <headerFooter alignWithMargins="0">
    <oddHeader>&amp;L&amp;"Arial,Fet"&amp;14Reinvesteringar mindre konstbyggnadsåtgärder 2014-2018&amp;R2013-09-25
&amp;P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Kalkylblad</vt:lpstr>
      </vt:variant>
      <vt:variant>
        <vt:i4>1</vt:i4>
      </vt:variant>
      <vt:variant>
        <vt:lpstr>Namngivna områden</vt:lpstr>
      </vt:variant>
      <vt:variant>
        <vt:i4>2</vt:i4>
      </vt:variant>
    </vt:vector>
  </HeadingPairs>
  <TitlesOfParts>
    <vt:vector size="3" baseType="lpstr">
      <vt:lpstr>Reinvesteringar inkl index</vt:lpstr>
      <vt:lpstr>'Reinvesteringar inkl index'!Utskriftsområde</vt:lpstr>
      <vt:lpstr>'Reinvesteringar inkl index'!Utskriftsrubriker</vt:lpstr>
    </vt:vector>
  </TitlesOfParts>
  <Company>Windows User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aa47099</dc:creator>
  <cp:lastModifiedBy>aa47099</cp:lastModifiedBy>
  <cp:lastPrinted>2013-11-15T09:34:43Z</cp:lastPrinted>
  <dcterms:created xsi:type="dcterms:W3CDTF">2013-11-14T11:42:28Z</dcterms:created>
  <dcterms:modified xsi:type="dcterms:W3CDTF">2013-11-15T09:34:54Z</dcterms:modified>
</cp:coreProperties>
</file>